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kiwifruitnz.sharepoint.com/General/COLLABORATIVE MARKETING/CM Process Review &amp; Guidelines 2024/"/>
    </mc:Choice>
  </mc:AlternateContent>
  <xr:revisionPtr revIDLastSave="4" documentId="8_{13B2CF72-5E4C-4310-A630-C29B7AB8FC84}" xr6:coauthVersionLast="47" xr6:coauthVersionMax="47" xr10:uidLastSave="{A1B78BFC-B853-4B4A-B615-C367AC4ECE23}"/>
  <workbookProtection workbookAlgorithmName="SHA-512" workbookHashValue="jjq5jIUUsSDgSJNxTBre4AD9fV1NZscBac70qRD8iWPJn71705NA7PKoLvKZRpY7uvMApNjfM9Far3wdXUhrRg==" workbookSaltValue="P4432TRw588MRxRo+AI62A==" workbookSpinCount="100000" lockStructure="1"/>
  <bookViews>
    <workbookView xWindow="28680" yWindow="-120" windowWidth="29040" windowHeight="15720" xr2:uid="{00000000-000D-0000-FFFF-FFFF00000000}"/>
  </bookViews>
  <sheets>
    <sheet name="Calc" sheetId="1" r:id="rId1"/>
    <sheet name="2020 Calc" sheetId="4" r:id="rId2"/>
    <sheet name="Matrix 15" sheetId="2" r:id="rId3"/>
    <sheet name="Matrix 18" sheetId="3" r:id="rId4"/>
  </sheets>
  <definedNames>
    <definedName name="Text1" localSheetId="0">Calc!$B$8</definedName>
    <definedName name="Text2" localSheetId="1">'2020 Calc'!$B$17</definedName>
    <definedName name="Text2" localSheetId="0">Calc!$B$17</definedName>
    <definedName name="Text3" localSheetId="0">Calc!$B$18</definedName>
    <definedName name="Text4" localSheetId="1">'2020 Calc'!$B$16</definedName>
    <definedName name="Text4" localSheetId="0">Calc!$B$16</definedName>
    <definedName name="Trays" localSheetId="1">'2020 Calc'!$B$6</definedName>
    <definedName name="Trays" localSheetId="0">Calc!$B$6</definedName>
    <definedName name="Weighted_Trays" localSheetId="1">'2020 Calc'!$B$14</definedName>
    <definedName name="Weighted_Trays" localSheetId="0">Calc!$B$14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1" l="1"/>
  <c r="B9" i="1"/>
  <c r="B13" i="1"/>
  <c r="I43" i="3"/>
  <c r="I44" i="3"/>
  <c r="I45" i="3"/>
  <c r="I42" i="3"/>
  <c r="B12" i="1" l="1"/>
  <c r="B11" i="1" s="1"/>
  <c r="B10" i="1" s="1"/>
  <c r="E42" i="3"/>
  <c r="E43" i="3"/>
  <c r="E44" i="3"/>
  <c r="B14" i="1" l="1"/>
  <c r="E45" i="3"/>
  <c r="D16" i="1" l="1"/>
  <c r="E16" i="1"/>
  <c r="B16" i="1"/>
  <c r="C16" i="1" s="1"/>
  <c r="E17" i="1" l="1"/>
  <c r="E18" i="1" s="1"/>
  <c r="D17" i="1"/>
  <c r="D18" i="1" s="1"/>
  <c r="C17" i="1"/>
  <c r="C18" i="1" s="1"/>
  <c r="R9" i="3" l="1"/>
  <c r="Q9" i="3" s="1"/>
  <c r="R10" i="3"/>
  <c r="S10" i="3" s="1"/>
  <c r="R12" i="3"/>
  <c r="Q12" i="3" s="1"/>
  <c r="R13" i="3"/>
  <c r="S13" i="3" s="1"/>
  <c r="R14" i="3"/>
  <c r="S14" i="3" s="1"/>
  <c r="R15" i="3"/>
  <c r="S15" i="3" s="1"/>
  <c r="R16" i="3"/>
  <c r="Q16" i="3" s="1"/>
  <c r="R17" i="3"/>
  <c r="Q17" i="3" s="1"/>
  <c r="R18" i="3"/>
  <c r="S18" i="3" s="1"/>
  <c r="R11" i="3"/>
  <c r="Q11" i="3" s="1"/>
  <c r="N18" i="3"/>
  <c r="M18" i="3" s="1"/>
  <c r="J18" i="3"/>
  <c r="K18" i="3" s="1"/>
  <c r="F18" i="3"/>
  <c r="G18" i="3" s="1"/>
  <c r="N17" i="3"/>
  <c r="M17" i="3" s="1"/>
  <c r="J17" i="3"/>
  <c r="K17" i="3" s="1"/>
  <c r="F17" i="3"/>
  <c r="G17" i="3" s="1"/>
  <c r="N16" i="3"/>
  <c r="M16" i="3" s="1"/>
  <c r="J16" i="3"/>
  <c r="K16" i="3" s="1"/>
  <c r="F16" i="3"/>
  <c r="G16" i="3" s="1"/>
  <c r="E16" i="3"/>
  <c r="N15" i="3"/>
  <c r="M15" i="3" s="1"/>
  <c r="J15" i="3"/>
  <c r="K15" i="3" s="1"/>
  <c r="F15" i="3"/>
  <c r="G15" i="3" s="1"/>
  <c r="N14" i="3"/>
  <c r="M14" i="3" s="1"/>
  <c r="J14" i="3"/>
  <c r="K14" i="3" s="1"/>
  <c r="F14" i="3"/>
  <c r="G14" i="3" s="1"/>
  <c r="N13" i="3"/>
  <c r="M13" i="3" s="1"/>
  <c r="J13" i="3"/>
  <c r="K13" i="3" s="1"/>
  <c r="F13" i="3"/>
  <c r="G13" i="3" s="1"/>
  <c r="S12" i="3"/>
  <c r="N12" i="3"/>
  <c r="M12" i="3" s="1"/>
  <c r="J12" i="3"/>
  <c r="K12" i="3" s="1"/>
  <c r="F12" i="3"/>
  <c r="G12" i="3" s="1"/>
  <c r="N11" i="3"/>
  <c r="M11" i="3" s="1"/>
  <c r="J11" i="3"/>
  <c r="K11" i="3" s="1"/>
  <c r="F11" i="3"/>
  <c r="G11" i="3" s="1"/>
  <c r="I15" i="3" l="1"/>
  <c r="S16" i="3"/>
  <c r="S17" i="3"/>
  <c r="E12" i="3"/>
  <c r="I18" i="3"/>
  <c r="I13" i="3"/>
  <c r="E17" i="3"/>
  <c r="E14" i="3"/>
  <c r="I17" i="3"/>
  <c r="I14" i="3"/>
  <c r="I11" i="3"/>
  <c r="E13" i="3"/>
  <c r="Q15" i="3"/>
  <c r="Q14" i="3"/>
  <c r="Q13" i="3"/>
  <c r="I16" i="3"/>
  <c r="Q10" i="3"/>
  <c r="I12" i="3"/>
  <c r="E15" i="3"/>
  <c r="E11" i="3"/>
  <c r="Q18" i="3"/>
  <c r="S11" i="3"/>
  <c r="O11" i="3"/>
  <c r="O12" i="3"/>
  <c r="O13" i="3"/>
  <c r="O14" i="3"/>
  <c r="O15" i="3"/>
  <c r="O16" i="3"/>
  <c r="O17" i="3"/>
  <c r="E18" i="3"/>
  <c r="O18" i="3"/>
  <c r="R12" i="2" l="1"/>
  <c r="R13" i="2"/>
  <c r="R14" i="2"/>
  <c r="R15" i="2"/>
  <c r="R16" i="2"/>
  <c r="R17" i="2"/>
  <c r="R18" i="2"/>
  <c r="R11" i="2"/>
  <c r="Q11" i="2" s="1"/>
  <c r="N12" i="2"/>
  <c r="N13" i="2"/>
  <c r="N14" i="2"/>
  <c r="N15" i="2"/>
  <c r="N16" i="2"/>
  <c r="N17" i="2"/>
  <c r="N18" i="2"/>
  <c r="N11" i="2"/>
  <c r="O11" i="2" s="1"/>
  <c r="J12" i="2"/>
  <c r="I12" i="2" s="1"/>
  <c r="J13" i="2"/>
  <c r="K13" i="2" s="1"/>
  <c r="J14" i="2"/>
  <c r="K14" i="2" s="1"/>
  <c r="J15" i="2"/>
  <c r="K15" i="2" s="1"/>
  <c r="J16" i="2"/>
  <c r="I16" i="2" s="1"/>
  <c r="J17" i="2"/>
  <c r="K17" i="2" s="1"/>
  <c r="J18" i="2"/>
  <c r="K18" i="2" s="1"/>
  <c r="J11" i="2"/>
  <c r="K11" i="2" s="1"/>
  <c r="F11" i="2"/>
  <c r="G11" i="2" s="1"/>
  <c r="F12" i="2"/>
  <c r="E12" i="2" s="1"/>
  <c r="F13" i="2"/>
  <c r="G13" i="2" s="1"/>
  <c r="F14" i="2"/>
  <c r="E14" i="2" s="1"/>
  <c r="F15" i="2"/>
  <c r="E15" i="2" s="1"/>
  <c r="F16" i="2"/>
  <c r="G16" i="2" s="1"/>
  <c r="F17" i="2"/>
  <c r="G17" i="2" s="1"/>
  <c r="F18" i="2"/>
  <c r="E18" i="2" s="1"/>
  <c r="I13" i="2" l="1"/>
  <c r="I17" i="2"/>
  <c r="G15" i="2"/>
  <c r="G12" i="2"/>
  <c r="E16" i="2"/>
  <c r="S11" i="2"/>
  <c r="E13" i="2"/>
  <c r="E17" i="2"/>
  <c r="G18" i="2"/>
  <c r="G14" i="2"/>
  <c r="I11" i="2"/>
  <c r="I15" i="2"/>
  <c r="M11" i="2"/>
  <c r="O13" i="2"/>
  <c r="M13" i="2"/>
  <c r="O15" i="2"/>
  <c r="M15" i="2"/>
  <c r="O18" i="2"/>
  <c r="M18" i="2"/>
  <c r="O14" i="2"/>
  <c r="M14" i="2"/>
  <c r="O17" i="2"/>
  <c r="M17" i="2"/>
  <c r="O16" i="2"/>
  <c r="Q16" i="2" s="1"/>
  <c r="K12" i="2"/>
  <c r="M12" i="2" s="1"/>
  <c r="I14" i="2"/>
  <c r="K16" i="2"/>
  <c r="M16" i="2" s="1"/>
  <c r="I18" i="2"/>
  <c r="E11" i="2"/>
  <c r="S16" i="2" l="1"/>
  <c r="S14" i="2"/>
  <c r="Q14" i="2"/>
  <c r="S15" i="2"/>
  <c r="Q15" i="2"/>
  <c r="O12" i="2"/>
  <c r="S17" i="2"/>
  <c r="Q17" i="2"/>
  <c r="S18" i="2"/>
  <c r="Q18" i="2"/>
  <c r="S13" i="2"/>
  <c r="Q13" i="2"/>
  <c r="Q12" i="2" l="1"/>
  <c r="S12" i="2"/>
</calcChain>
</file>

<file path=xl/sharedStrings.xml><?xml version="1.0" encoding="utf-8"?>
<sst xmlns="http://schemas.openxmlformats.org/spreadsheetml/2006/main" count="148" uniqueCount="92">
  <si>
    <t>Kiwifruit Fee Calculator</t>
  </si>
  <si>
    <t xml:space="preserve"> </t>
  </si>
  <si>
    <t>Tray Calculation</t>
  </si>
  <si>
    <t>Application Fee</t>
  </si>
  <si>
    <t>Final Fee if Approved</t>
  </si>
  <si>
    <t>Final Fee if Declined</t>
  </si>
  <si>
    <t>Trays applied for</t>
  </si>
  <si>
    <t>Weighted trays &gt;1,500,000</t>
  </si>
  <si>
    <t>1,000,001 to 1,500,000</t>
  </si>
  <si>
    <t>500,001 to 1,000,000</t>
  </si>
  <si>
    <t>250,001 to 500,000</t>
  </si>
  <si>
    <t>100,001 to 250,000</t>
  </si>
  <si>
    <t>Up to 100,000</t>
  </si>
  <si>
    <t>Weighted trays</t>
  </si>
  <si>
    <t>Fees</t>
  </si>
  <si>
    <t>GST</t>
  </si>
  <si>
    <t>Total Fee (including GST)</t>
  </si>
  <si>
    <t>NB:  Fee calculator does not include multi-year/long-duration discounts.</t>
  </si>
  <si>
    <t>Calculator Methodology</t>
  </si>
  <si>
    <t>The initial application fee is calculated by mutiplying the weighted trays (above) by 15 cents per tray, with a minimum fee of $2,500 and a maximum fee of $15,000 (plus GST)</t>
  </si>
  <si>
    <t>If the trays applied for is greater than 310,000 trays then the maximum application fee of $15,000 will apply.  The final fee calculation is not affected.</t>
  </si>
  <si>
    <t>The weighted tray number is the sum of;</t>
  </si>
  <si>
    <r>
      <t>a</t>
    </r>
    <r>
      <rPr>
        <sz val="10"/>
        <color indexed="8"/>
        <rFont val="Calibri"/>
        <family val="2"/>
      </rPr>
      <t>)</t>
    </r>
  </si>
  <si>
    <t>the number of trays up to and including 100,000 for each application,</t>
  </si>
  <si>
    <t>b)</t>
  </si>
  <si>
    <t>for trays in excess of 100,000 and between 100,001 and 250,000, the number of trays weighted by a factor of .80 (eighty percent),</t>
  </si>
  <si>
    <t>c)</t>
  </si>
  <si>
    <t>for trays in excess of 250,000 and between 250,001 and 500,000, the number of trays weighted by a factor of .50 (fifty percent),</t>
  </si>
  <si>
    <t>d)</t>
  </si>
  <si>
    <t>for trays in excess of 500,000 and between 500,001 and 1,000,000, the number of trays weighted by a factor of .25 (twenty-five percent),</t>
  </si>
  <si>
    <t>e)</t>
  </si>
  <si>
    <t>for trays in excess of 1,000,000 and between 1,000,001 and 1,500,000, the number of trays weighted by a factor of .05 (five percent), and</t>
  </si>
  <si>
    <t>f)</t>
  </si>
  <si>
    <t xml:space="preserve">for the trays in number exceeding 1,500,000, the number of trays weighted by a factor of .02 (two percent). </t>
  </si>
  <si>
    <t>Final fees are the greater of (i) $ 2,500 or (ii) the weighted trays approved multiplied by 15 cents per tray, (plus GST)</t>
  </si>
  <si>
    <t>CM Fee's Model Matrix</t>
  </si>
  <si>
    <t>Trays</t>
  </si>
  <si>
    <t>Weighted Trays</t>
  </si>
  <si>
    <t>Current Fee 20c</t>
  </si>
  <si>
    <t>Fee 15c</t>
  </si>
  <si>
    <t>Fee 10c</t>
  </si>
  <si>
    <t>Fee "min plus 15c"</t>
  </si>
  <si>
    <t>Application</t>
  </si>
  <si>
    <t>Approved</t>
  </si>
  <si>
    <t>Declined</t>
  </si>
  <si>
    <t>min $2,500</t>
  </si>
  <si>
    <t>10-20k</t>
  </si>
  <si>
    <t>25c</t>
  </si>
  <si>
    <t>20-50k</t>
  </si>
  <si>
    <t>20c</t>
  </si>
  <si>
    <t>50k+</t>
  </si>
  <si>
    <t>15c</t>
  </si>
  <si>
    <t>Examples OLD vs NEW Fee structure;</t>
  </si>
  <si>
    <t>FF Vietnam</t>
  </si>
  <si>
    <t>FM India</t>
  </si>
  <si>
    <t>SFFE Phil</t>
  </si>
  <si>
    <t>T&amp;G SEA</t>
  </si>
  <si>
    <t>South Seas</t>
  </si>
  <si>
    <t>Mr Apple</t>
  </si>
  <si>
    <t>Minimum</t>
  </si>
  <si>
    <t>On application</t>
  </si>
  <si>
    <t>33% or min.</t>
  </si>
  <si>
    <t>Total</t>
  </si>
  <si>
    <t>25% or min</t>
  </si>
  <si>
    <t>Multi-year</t>
  </si>
  <si>
    <t>Possible option :   ZGL pay 10% of CM costs to recognise benefits of CM system to all growers.</t>
  </si>
  <si>
    <t>OLD / New Comparison</t>
  </si>
  <si>
    <t>2016/17 CM Costs</t>
  </si>
  <si>
    <t>2016/17 CM Revenue "OLD"</t>
  </si>
  <si>
    <t>2016/17 CM Revenue "NEW"</t>
  </si>
  <si>
    <t>Fee "min plus 18c"</t>
  </si>
  <si>
    <t>18c</t>
  </si>
  <si>
    <t>BSMC</t>
  </si>
  <si>
    <t>weighted</t>
  </si>
  <si>
    <t>Discount</t>
  </si>
  <si>
    <t>10+ years</t>
  </si>
  <si>
    <t>SFFE, Freshmax India/Indo, Fern Ridge Reunion/Mauritius, Seeka Malaysia, South Seas and T&amp;G Pac, SPL USA.</t>
  </si>
  <si>
    <t>Options</t>
  </si>
  <si>
    <t>Rebates</t>
  </si>
  <si>
    <t>Net</t>
  </si>
  <si>
    <t>Wgtd Te</t>
  </si>
  <si>
    <t>c / te</t>
  </si>
  <si>
    <t>$</t>
  </si>
  <si>
    <t>1. ZGL pay more</t>
  </si>
  <si>
    <t>no</t>
  </si>
  <si>
    <t>2. New small pay more</t>
  </si>
  <si>
    <t>3. Higher disc for longterm CM</t>
  </si>
  <si>
    <t>yes</t>
  </si>
  <si>
    <t>10 yr 10% more</t>
  </si>
  <si>
    <t>4. Lower per tray fee</t>
  </si>
  <si>
    <t>18 down to 15</t>
  </si>
  <si>
    <t>2025-26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</si>
</sst>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44" formatCode="_-&quot;$&quot;* #,##0.00_-;\-&quot;$&quot;* #,##0.00_-;_-&quot;$&quot;* &quot;-&quot;??_-;_-@_-"/>
    <numFmt numFmtId="164" formatCode="&quot;$&quot;#,##0.00_);[Red]\(&quot;$&quot;#,##0.00\)"/>
    <numFmt numFmtId="165" formatCode="_(* #,##0.00_);_(* \(#,##0.00\);_(* &quot;-&quot;??_);_(@_)"/>
    <numFmt numFmtId="166" formatCode="_(* #,##0_);_(* \(#,##0\);_(* &quot;-&quot;??_);_(@_)"/>
    <numFmt numFmtId="167" formatCode="_-&quot;$&quot;* #,##0_-;\-&quot;$&quot;* #,##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166" fontId="1" fillId="2" borderId="1" xfId="1" applyNumberFormat="1" applyFont="1" applyFill="1" applyBorder="1" applyProtection="1">
      <protection locked="0"/>
    </xf>
    <xf numFmtId="166" fontId="0" fillId="0" borderId="1" xfId="1" applyNumberFormat="1" applyFont="1" applyBorder="1"/>
    <xf numFmtId="3" fontId="0" fillId="0" borderId="1" xfId="0" applyNumberFormat="1" applyBorder="1"/>
    <xf numFmtId="166" fontId="1" fillId="0" borderId="1" xfId="1" applyNumberFormat="1" applyFont="1" applyBorder="1"/>
    <xf numFmtId="164" fontId="1" fillId="0" borderId="1" xfId="0" applyNumberFormat="1" applyFont="1" applyBorder="1"/>
    <xf numFmtId="0" fontId="1" fillId="0" borderId="5" xfId="0" applyFont="1" applyBorder="1"/>
    <xf numFmtId="0" fontId="0" fillId="0" borderId="6" xfId="0" applyBorder="1"/>
    <xf numFmtId="0" fontId="0" fillId="0" borderId="5" xfId="0" applyBorder="1"/>
    <xf numFmtId="164" fontId="1" fillId="0" borderId="6" xfId="0" applyNumberFormat="1" applyFont="1" applyBorder="1"/>
    <xf numFmtId="0" fontId="6" fillId="0" borderId="5" xfId="0" applyFont="1" applyBorder="1"/>
    <xf numFmtId="164" fontId="6" fillId="0" borderId="1" xfId="0" applyNumberFormat="1" applyFont="1" applyBorder="1"/>
    <xf numFmtId="164" fontId="6" fillId="0" borderId="6" xfId="0" applyNumberFormat="1" applyFont="1" applyBorder="1"/>
    <xf numFmtId="0" fontId="0" fillId="3" borderId="2" xfId="0" applyFill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vertical="center"/>
    </xf>
    <xf numFmtId="164" fontId="7" fillId="4" borderId="8" xfId="0" applyNumberFormat="1" applyFont="1" applyFill="1" applyBorder="1" applyAlignment="1">
      <alignment vertical="center"/>
    </xf>
    <xf numFmtId="164" fontId="7" fillId="4" borderId="9" xfId="0" applyNumberFormat="1" applyFont="1" applyFill="1" applyBorder="1" applyAlignment="1">
      <alignment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1" applyNumberFormat="1" applyFont="1"/>
    <xf numFmtId="167" fontId="0" fillId="0" borderId="0" xfId="2" applyNumberFormat="1" applyFont="1"/>
    <xf numFmtId="0" fontId="10" fillId="0" borderId="0" xfId="0" applyFont="1"/>
    <xf numFmtId="166" fontId="0" fillId="0" borderId="0" xfId="1" applyNumberFormat="1" applyFont="1" applyAlignment="1">
      <alignment horizontal="center"/>
    </xf>
    <xf numFmtId="0" fontId="9" fillId="5" borderId="1" xfId="0" applyFont="1" applyFill="1" applyBorder="1"/>
    <xf numFmtId="0" fontId="9" fillId="6" borderId="1" xfId="0" applyFont="1" applyFill="1" applyBorder="1"/>
    <xf numFmtId="0" fontId="9" fillId="7" borderId="1" xfId="0" applyFont="1" applyFill="1" applyBorder="1"/>
    <xf numFmtId="0" fontId="9" fillId="4" borderId="1" xfId="0" applyFont="1" applyFill="1" applyBorder="1"/>
    <xf numFmtId="0" fontId="1" fillId="2" borderId="1" xfId="0" applyFont="1" applyFill="1" applyBorder="1" applyAlignment="1">
      <alignment horizontal="center"/>
    </xf>
    <xf numFmtId="9" fontId="0" fillId="0" borderId="0" xfId="0" applyNumberFormat="1"/>
    <xf numFmtId="6" fontId="0" fillId="0" borderId="0" xfId="0" applyNumberFormat="1" applyAlignment="1">
      <alignment horizontal="center"/>
    </xf>
    <xf numFmtId="16" fontId="0" fillId="0" borderId="0" xfId="0" applyNumberFormat="1"/>
    <xf numFmtId="9" fontId="0" fillId="0" borderId="0" xfId="0" applyNumberFormat="1" applyAlignment="1">
      <alignment horizontal="center"/>
    </xf>
    <xf numFmtId="0" fontId="11" fillId="0" borderId="0" xfId="0" applyFont="1"/>
    <xf numFmtId="166" fontId="11" fillId="0" borderId="10" xfId="1" applyNumberFormat="1" applyFont="1" applyBorder="1"/>
    <xf numFmtId="166" fontId="11" fillId="0" borderId="0" xfId="1" applyNumberFormat="1" applyFont="1"/>
    <xf numFmtId="1" fontId="0" fillId="0" borderId="0" xfId="1" applyNumberFormat="1" applyFont="1"/>
    <xf numFmtId="166" fontId="11" fillId="0" borderId="10" xfId="1" applyNumberFormat="1" applyFont="1" applyFill="1" applyBorder="1"/>
    <xf numFmtId="0" fontId="6" fillId="0" borderId="0" xfId="0" applyFont="1"/>
    <xf numFmtId="167" fontId="1" fillId="0" borderId="0" xfId="2" applyNumberFormat="1" applyFont="1"/>
    <xf numFmtId="0" fontId="9" fillId="4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67" fontId="0" fillId="0" borderId="0" xfId="0" applyNumberFormat="1"/>
    <xf numFmtId="167" fontId="1" fillId="0" borderId="0" xfId="2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66" fontId="1" fillId="8" borderId="1" xfId="1" applyNumberFormat="1" applyFont="1" applyFill="1" applyBorder="1"/>
    <xf numFmtId="0" fontId="0" fillId="0" borderId="13" xfId="0" applyBorder="1"/>
    <xf numFmtId="0" fontId="0" fillId="0" borderId="14" xfId="0" applyBorder="1"/>
    <xf numFmtId="3" fontId="0" fillId="0" borderId="0" xfId="0" applyNumberFormat="1"/>
    <xf numFmtId="3" fontId="0" fillId="0" borderId="13" xfId="0" applyNumberFormat="1" applyBorder="1"/>
    <xf numFmtId="164" fontId="12" fillId="0" borderId="1" xfId="0" applyNumberFormat="1" applyFont="1" applyBorder="1"/>
    <xf numFmtId="164" fontId="1" fillId="0" borderId="13" xfId="0" applyNumberFormat="1" applyFont="1" applyBorder="1"/>
    <xf numFmtId="164" fontId="1" fillId="0" borderId="14" xfId="0" applyNumberFormat="1" applyFont="1" applyBorder="1"/>
    <xf numFmtId="164" fontId="6" fillId="0" borderId="13" xfId="0" applyNumberFormat="1" applyFont="1" applyBorder="1"/>
    <xf numFmtId="164" fontId="6" fillId="0" borderId="14" xfId="0" applyNumberFormat="1" applyFont="1" applyBorder="1"/>
    <xf numFmtId="164" fontId="7" fillId="4" borderId="15" xfId="0" applyNumberFormat="1" applyFont="1" applyFill="1" applyBorder="1" applyAlignment="1">
      <alignment vertical="center"/>
    </xf>
    <xf numFmtId="164" fontId="7" fillId="4" borderId="16" xfId="0" applyNumberFormat="1" applyFont="1" applyFill="1" applyBorder="1" applyAlignment="1">
      <alignment vertical="center"/>
    </xf>
    <xf numFmtId="0" fontId="8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zoomScale="115" zoomScaleNormal="115" workbookViewId="0">
      <selection activeCell="F18" sqref="F18"/>
    </sheetView>
  </sheetViews>
  <sheetFormatPr defaultRowHeight="15" x14ac:dyDescent="0.25"/>
  <cols>
    <col min="1" max="1" width="26.140625" customWidth="1"/>
    <col min="2" max="4" width="21.28515625" customWidth="1"/>
    <col min="5" max="5" width="25" customWidth="1"/>
  </cols>
  <sheetData>
    <row r="1" spans="1:6" ht="18.75" x14ac:dyDescent="0.3">
      <c r="A1" s="2" t="s">
        <v>0</v>
      </c>
    </row>
    <row r="2" spans="1:6" x14ac:dyDescent="0.25">
      <c r="A2" s="1"/>
      <c r="C2" s="51"/>
      <c r="D2" s="52"/>
    </row>
    <row r="3" spans="1:6" ht="18.75" x14ac:dyDescent="0.3">
      <c r="A3" s="3" t="s">
        <v>91</v>
      </c>
    </row>
    <row r="4" spans="1:6" ht="15.75" thickBot="1" x14ac:dyDescent="0.3">
      <c r="E4" t="s">
        <v>1</v>
      </c>
    </row>
    <row r="5" spans="1:6" ht="21.75" customHeight="1" x14ac:dyDescent="0.25">
      <c r="A5" s="17"/>
      <c r="B5" s="18" t="s">
        <v>2</v>
      </c>
      <c r="C5" s="18" t="s">
        <v>3</v>
      </c>
      <c r="D5" s="53" t="s">
        <v>4</v>
      </c>
      <c r="E5" s="54" t="s">
        <v>5</v>
      </c>
    </row>
    <row r="6" spans="1:6" x14ac:dyDescent="0.25">
      <c r="A6" s="10" t="s">
        <v>6</v>
      </c>
      <c r="B6" s="5"/>
      <c r="C6" s="55"/>
      <c r="D6" s="56"/>
      <c r="E6" s="57"/>
    </row>
    <row r="7" spans="1:6" x14ac:dyDescent="0.25">
      <c r="A7" s="12"/>
      <c r="B7" s="6"/>
      <c r="C7" s="6"/>
      <c r="D7" s="56"/>
      <c r="E7" s="57"/>
    </row>
    <row r="8" spans="1:6" x14ac:dyDescent="0.25">
      <c r="A8" s="12" t="s">
        <v>7</v>
      </c>
      <c r="B8" s="6">
        <f>IF(Trays&gt;1500000,Trays-SUM(B9:$B$13),0)</f>
        <v>0</v>
      </c>
      <c r="C8" s="6"/>
      <c r="D8" s="56"/>
      <c r="E8" s="57"/>
    </row>
    <row r="9" spans="1:6" x14ac:dyDescent="0.25">
      <c r="A9" s="12" t="s">
        <v>8</v>
      </c>
      <c r="B9" s="6">
        <f>IF(Trays&gt;1000000,MIN(Trays-SUM(B10:$B$13),500000),0)</f>
        <v>0</v>
      </c>
      <c r="C9" s="6"/>
      <c r="D9" s="56"/>
      <c r="E9" s="57"/>
    </row>
    <row r="10" spans="1:6" x14ac:dyDescent="0.25">
      <c r="A10" s="12" t="s">
        <v>9</v>
      </c>
      <c r="B10" s="6">
        <f>IF(Trays&gt;500000,MIN(Trays-SUM(B11:$B$13),500000),0)</f>
        <v>0</v>
      </c>
      <c r="C10" s="6"/>
      <c r="D10" s="56"/>
      <c r="E10" s="57"/>
    </row>
    <row r="11" spans="1:6" x14ac:dyDescent="0.25">
      <c r="A11" s="12" t="s">
        <v>10</v>
      </c>
      <c r="B11" s="6">
        <f>IF(Trays&gt;250000,MIN(Trays-SUM(B12:$B$13),250000),0)</f>
        <v>0</v>
      </c>
      <c r="C11" s="6"/>
      <c r="D11" s="56"/>
      <c r="E11" s="57"/>
    </row>
    <row r="12" spans="1:6" x14ac:dyDescent="0.25">
      <c r="A12" s="12" t="s">
        <v>11</v>
      </c>
      <c r="B12" s="6">
        <f>IF(Trays&gt;100000,MIN(Trays-SUM(B13:$B$13),150000),0)</f>
        <v>0</v>
      </c>
      <c r="C12" s="6"/>
      <c r="D12" s="56"/>
      <c r="E12" s="57"/>
      <c r="F12" s="58"/>
    </row>
    <row r="13" spans="1:6" x14ac:dyDescent="0.25">
      <c r="A13" s="12" t="s">
        <v>12</v>
      </c>
      <c r="B13" s="6">
        <f>IF(Trays&gt;100000,100000,Trays)</f>
        <v>0</v>
      </c>
      <c r="C13" s="6"/>
      <c r="D13" s="59"/>
      <c r="E13" s="57"/>
      <c r="F13" s="58"/>
    </row>
    <row r="14" spans="1:6" x14ac:dyDescent="0.25">
      <c r="A14" s="10" t="s">
        <v>13</v>
      </c>
      <c r="B14" s="8">
        <f>(B13*1+B12*0.8+B11*0.5+B10*0.25+B9*0.05+B8*0.02)</f>
        <v>0</v>
      </c>
      <c r="C14" s="8"/>
      <c r="D14" s="59"/>
      <c r="E14" s="57"/>
    </row>
    <row r="15" spans="1:6" ht="15" customHeight="1" x14ac:dyDescent="0.25">
      <c r="A15" s="12"/>
      <c r="B15" s="7"/>
      <c r="C15" s="7"/>
      <c r="D15" s="59"/>
      <c r="E15" s="57"/>
    </row>
    <row r="16" spans="1:6" x14ac:dyDescent="0.25">
      <c r="A16" s="10" t="s">
        <v>14</v>
      </c>
      <c r="B16" s="60">
        <f>MAX(Weighted_Trays*0.18*0.3333,2500)</f>
        <v>2500</v>
      </c>
      <c r="C16" s="9">
        <f>IF((B16)&gt;15000,15000,B16)</f>
        <v>2500</v>
      </c>
      <c r="D16" s="61">
        <f>MAX(Weighted_Trays*0.15*1,2500)</f>
        <v>2500</v>
      </c>
      <c r="E16" s="62">
        <f>MAX(Weighted_Trays*0.15*0.25,2500)</f>
        <v>2500</v>
      </c>
    </row>
    <row r="17" spans="1:5" x14ac:dyDescent="0.25">
      <c r="A17" s="14" t="s">
        <v>15</v>
      </c>
      <c r="B17" s="15"/>
      <c r="C17" s="15">
        <f>C16*0.15</f>
        <v>375</v>
      </c>
      <c r="D17" s="63">
        <f>D16*0.15</f>
        <v>375</v>
      </c>
      <c r="E17" s="64">
        <f>E16*0.15</f>
        <v>375</v>
      </c>
    </row>
    <row r="18" spans="1:5" ht="22.5" customHeight="1" thickBot="1" x14ac:dyDescent="0.3">
      <c r="A18" s="20" t="s">
        <v>16</v>
      </c>
      <c r="B18" s="21"/>
      <c r="C18" s="21">
        <f>C16+C17</f>
        <v>2875</v>
      </c>
      <c r="D18" s="65">
        <f>D16+D17</f>
        <v>2875</v>
      </c>
      <c r="E18" s="66">
        <f>E16+E17</f>
        <v>2875</v>
      </c>
    </row>
    <row r="19" spans="1:5" s="45" customFormat="1" x14ac:dyDescent="0.25">
      <c r="A19" s="45" t="s">
        <v>17</v>
      </c>
    </row>
    <row r="21" spans="1:5" x14ac:dyDescent="0.25">
      <c r="A21" s="23" t="s">
        <v>18</v>
      </c>
    </row>
    <row r="22" spans="1:5" x14ac:dyDescent="0.25">
      <c r="A22" s="67" t="s">
        <v>19</v>
      </c>
    </row>
    <row r="23" spans="1:5" x14ac:dyDescent="0.25">
      <c r="A23" s="67" t="s">
        <v>20</v>
      </c>
    </row>
    <row r="24" spans="1:5" x14ac:dyDescent="0.25">
      <c r="A24" s="67"/>
    </row>
    <row r="25" spans="1:5" x14ac:dyDescent="0.25">
      <c r="A25" s="24" t="s">
        <v>21</v>
      </c>
    </row>
    <row r="26" spans="1:5" x14ac:dyDescent="0.25">
      <c r="A26" s="48" t="s">
        <v>22</v>
      </c>
      <c r="B26" s="24" t="s">
        <v>23</v>
      </c>
      <c r="C26" s="24"/>
    </row>
    <row r="27" spans="1:5" x14ac:dyDescent="0.25">
      <c r="A27" s="25" t="s">
        <v>24</v>
      </c>
      <c r="B27" s="24" t="s">
        <v>25</v>
      </c>
      <c r="C27" s="24"/>
    </row>
    <row r="28" spans="1:5" x14ac:dyDescent="0.25">
      <c r="A28" s="25" t="s">
        <v>26</v>
      </c>
      <c r="B28" s="24" t="s">
        <v>27</v>
      </c>
      <c r="C28" s="24"/>
    </row>
    <row r="29" spans="1:5" x14ac:dyDescent="0.25">
      <c r="A29" s="25" t="s">
        <v>28</v>
      </c>
      <c r="B29" s="24" t="s">
        <v>29</v>
      </c>
      <c r="C29" s="24"/>
    </row>
    <row r="30" spans="1:5" x14ac:dyDescent="0.25">
      <c r="A30" s="25" t="s">
        <v>30</v>
      </c>
      <c r="B30" s="24" t="s">
        <v>31</v>
      </c>
      <c r="C30" s="24"/>
    </row>
    <row r="31" spans="1:5" x14ac:dyDescent="0.25">
      <c r="A31" s="25" t="s">
        <v>32</v>
      </c>
      <c r="B31" s="24" t="s">
        <v>33</v>
      </c>
      <c r="C31" s="24"/>
    </row>
    <row r="33" spans="1:1" x14ac:dyDescent="0.25">
      <c r="A33" s="24" t="s">
        <v>34</v>
      </c>
    </row>
  </sheetData>
  <sheetProtection algorithmName="SHA-512" hashValue="fa6j4aAy4uXDf46yB+AR/PiIzmM7QD/XWSQsOZgpdDPjpMusBp66pMlPat93i9u93pX/nK4N/VUd26i5f9z6KA==" saltValue="KiRBaINhBZJAmqluh2ypuw==" spinCount="100000" sheet="1" objects="1" scenarios="1"/>
  <pageMargins left="0.7" right="0.7" top="0.75" bottom="0.75" header="0.3" footer="0.3"/>
  <pageSetup paperSize="9" scale="98" orientation="landscape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FFB01-B77C-4CB8-96C2-DF9C72CD97DC}">
  <dimension ref="A1:D29"/>
  <sheetViews>
    <sheetView topLeftCell="A7" zoomScale="120" zoomScaleNormal="120" workbookViewId="0">
      <selection activeCell="A20" sqref="A20:K29"/>
    </sheetView>
  </sheetViews>
  <sheetFormatPr defaultRowHeight="15" x14ac:dyDescent="0.25"/>
  <cols>
    <col min="1" max="1" width="27.42578125" customWidth="1"/>
    <col min="2" max="2" width="20.140625" customWidth="1"/>
    <col min="3" max="3" width="20.85546875" customWidth="1"/>
    <col min="4" max="4" width="24" customWidth="1"/>
  </cols>
  <sheetData>
    <row r="1" spans="1:4" ht="18.75" x14ac:dyDescent="0.3">
      <c r="A1" s="2"/>
    </row>
    <row r="2" spans="1:4" x14ac:dyDescent="0.25">
      <c r="A2" s="1"/>
    </row>
    <row r="3" spans="1:4" ht="18.75" x14ac:dyDescent="0.3">
      <c r="A3" s="3"/>
    </row>
    <row r="4" spans="1:4" ht="15.75" thickBot="1" x14ac:dyDescent="0.3"/>
    <row r="5" spans="1:4" x14ac:dyDescent="0.25">
      <c r="A5" s="17"/>
      <c r="B5" s="18"/>
      <c r="C5" s="18"/>
      <c r="D5" s="19"/>
    </row>
    <row r="6" spans="1:4" ht="15" customHeight="1" x14ac:dyDescent="0.25">
      <c r="A6" s="10"/>
      <c r="B6" s="5"/>
      <c r="C6" s="4"/>
      <c r="D6" s="11"/>
    </row>
    <row r="7" spans="1:4" ht="15" customHeight="1" x14ac:dyDescent="0.25">
      <c r="A7" s="12"/>
      <c r="B7" s="6"/>
      <c r="C7" s="4"/>
      <c r="D7" s="11"/>
    </row>
    <row r="8" spans="1:4" ht="15" customHeight="1" x14ac:dyDescent="0.25">
      <c r="A8" s="12"/>
      <c r="B8" s="6"/>
      <c r="C8" s="4"/>
      <c r="D8" s="11"/>
    </row>
    <row r="9" spans="1:4" ht="15" customHeight="1" x14ac:dyDescent="0.25">
      <c r="A9" s="12"/>
      <c r="B9" s="6"/>
      <c r="C9" s="4"/>
      <c r="D9" s="11"/>
    </row>
    <row r="10" spans="1:4" ht="15" customHeight="1" x14ac:dyDescent="0.25">
      <c r="A10" s="12"/>
      <c r="B10" s="6"/>
      <c r="C10" s="4"/>
      <c r="D10" s="11"/>
    </row>
    <row r="11" spans="1:4" ht="15" customHeight="1" x14ac:dyDescent="0.25">
      <c r="A11" s="12"/>
      <c r="B11" s="6"/>
      <c r="C11" s="4"/>
      <c r="D11" s="11"/>
    </row>
    <row r="12" spans="1:4" ht="15" customHeight="1" x14ac:dyDescent="0.25">
      <c r="A12" s="12"/>
      <c r="B12" s="6"/>
      <c r="C12" s="4"/>
      <c r="D12" s="11"/>
    </row>
    <row r="13" spans="1:4" ht="15" customHeight="1" x14ac:dyDescent="0.25">
      <c r="A13" s="12"/>
      <c r="B13" s="6"/>
      <c r="C13" s="7"/>
      <c r="D13" s="11"/>
    </row>
    <row r="14" spans="1:4" ht="15" customHeight="1" x14ac:dyDescent="0.25">
      <c r="A14" s="10"/>
      <c r="B14" s="8"/>
      <c r="C14" s="7"/>
      <c r="D14" s="11"/>
    </row>
    <row r="15" spans="1:4" ht="15" customHeight="1" x14ac:dyDescent="0.25">
      <c r="A15" s="12"/>
      <c r="B15" s="7"/>
      <c r="C15" s="7"/>
      <c r="D15" s="11"/>
    </row>
    <row r="16" spans="1:4" ht="15" customHeight="1" x14ac:dyDescent="0.25">
      <c r="A16" s="10"/>
      <c r="B16" s="9"/>
      <c r="C16" s="9"/>
      <c r="D16" s="13"/>
    </row>
    <row r="17" spans="1:4" ht="15" customHeight="1" x14ac:dyDescent="0.25">
      <c r="A17" s="14"/>
      <c r="B17" s="15"/>
      <c r="C17" s="15"/>
      <c r="D17" s="16"/>
    </row>
    <row r="18" spans="1:4" ht="15" customHeight="1" thickBot="1" x14ac:dyDescent="0.3">
      <c r="A18" s="20"/>
      <c r="B18" s="21"/>
      <c r="C18" s="21"/>
      <c r="D18" s="22"/>
    </row>
    <row r="20" spans="1:4" x14ac:dyDescent="0.25">
      <c r="A20" s="23"/>
    </row>
    <row r="21" spans="1:4" x14ac:dyDescent="0.25">
      <c r="A21" s="24"/>
    </row>
    <row r="22" spans="1:4" x14ac:dyDescent="0.25">
      <c r="A22" s="48"/>
      <c r="B22" s="24"/>
    </row>
    <row r="23" spans="1:4" x14ac:dyDescent="0.25">
      <c r="A23" s="25"/>
      <c r="B23" s="24"/>
    </row>
    <row r="24" spans="1:4" x14ac:dyDescent="0.25">
      <c r="A24" s="25"/>
      <c r="B24" s="24"/>
    </row>
    <row r="25" spans="1:4" x14ac:dyDescent="0.25">
      <c r="A25" s="25"/>
      <c r="B25" s="24"/>
    </row>
    <row r="26" spans="1:4" x14ac:dyDescent="0.25">
      <c r="A26" s="25"/>
      <c r="B26" s="24"/>
    </row>
    <row r="27" spans="1:4" x14ac:dyDescent="0.25">
      <c r="A27" s="25"/>
      <c r="B27" s="24"/>
    </row>
    <row r="29" spans="1:4" x14ac:dyDescent="0.25">
      <c r="A29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42"/>
  <sheetViews>
    <sheetView workbookViewId="0">
      <selection activeCell="D38" sqref="D38"/>
    </sheetView>
  </sheetViews>
  <sheetFormatPr defaultRowHeight="15" x14ac:dyDescent="0.25"/>
  <cols>
    <col min="1" max="1" width="13.28515625" bestFit="1" customWidth="1"/>
    <col min="2" max="2" width="11.7109375" customWidth="1"/>
    <col min="3" max="3" width="15" customWidth="1"/>
    <col min="4" max="4" width="10.42578125" customWidth="1"/>
    <col min="5" max="5" width="10.42578125" bestFit="1" customWidth="1"/>
    <col min="6" max="6" width="10" bestFit="1" customWidth="1"/>
    <col min="7" max="7" width="9" bestFit="1" customWidth="1"/>
    <col min="8" max="8" width="10.5703125" bestFit="1" customWidth="1"/>
    <col min="9" max="9" width="10.42578125" bestFit="1" customWidth="1"/>
    <col min="10" max="10" width="11.5703125" bestFit="1" customWidth="1"/>
    <col min="11" max="11" width="9" bestFit="1" customWidth="1"/>
    <col min="12" max="12" width="11.5703125" bestFit="1" customWidth="1"/>
    <col min="13" max="13" width="10.42578125" bestFit="1" customWidth="1"/>
    <col min="14" max="14" width="13.42578125" bestFit="1" customWidth="1"/>
    <col min="15" max="15" width="13.28515625" bestFit="1" customWidth="1"/>
    <col min="17" max="17" width="10.7109375" bestFit="1" customWidth="1"/>
    <col min="18" max="18" width="10.5703125" bestFit="1" customWidth="1"/>
    <col min="19" max="19" width="9" bestFit="1" customWidth="1"/>
    <col min="20" max="20" width="11.7109375" bestFit="1" customWidth="1"/>
    <col min="21" max="21" width="11.5703125" bestFit="1" customWidth="1"/>
  </cols>
  <sheetData>
    <row r="1" spans="1:22" ht="21" x14ac:dyDescent="0.35">
      <c r="A1" s="29" t="s">
        <v>35</v>
      </c>
      <c r="B1" s="1"/>
      <c r="C1" s="1"/>
      <c r="D1" s="1"/>
      <c r="E1" s="1"/>
      <c r="F1" s="1"/>
      <c r="G1" s="1"/>
    </row>
    <row r="2" spans="1:22" x14ac:dyDescent="0.25">
      <c r="A2" s="1"/>
      <c r="B2" s="1"/>
      <c r="C2" s="1"/>
      <c r="D2" s="1"/>
      <c r="E2" s="1"/>
      <c r="F2" s="1"/>
      <c r="G2" s="1"/>
    </row>
    <row r="3" spans="1:22" x14ac:dyDescent="0.25">
      <c r="A3" s="1"/>
      <c r="B3" s="1"/>
      <c r="C3" s="1"/>
      <c r="D3" s="1"/>
      <c r="E3" s="1"/>
      <c r="F3" s="1"/>
      <c r="G3" s="1"/>
    </row>
    <row r="4" spans="1:22" x14ac:dyDescent="0.25">
      <c r="A4" s="35" t="s">
        <v>36</v>
      </c>
      <c r="B4" s="68"/>
      <c r="C4" s="35" t="s">
        <v>37</v>
      </c>
      <c r="D4" s="1"/>
      <c r="E4" s="70" t="s">
        <v>38</v>
      </c>
      <c r="F4" s="70"/>
      <c r="G4" s="70"/>
      <c r="I4" s="71" t="s">
        <v>39</v>
      </c>
      <c r="J4" s="71"/>
      <c r="K4" s="71"/>
      <c r="M4" s="72" t="s">
        <v>40</v>
      </c>
      <c r="N4" s="72"/>
      <c r="O4" s="72"/>
      <c r="Q4" s="73" t="s">
        <v>41</v>
      </c>
      <c r="R4" s="73"/>
      <c r="S4" s="73"/>
    </row>
    <row r="5" spans="1:22" x14ac:dyDescent="0.25">
      <c r="A5" s="68"/>
      <c r="B5" s="68"/>
      <c r="C5" s="68"/>
      <c r="D5" s="1"/>
      <c r="E5" s="31" t="s">
        <v>42</v>
      </c>
      <c r="F5" s="31" t="s">
        <v>43</v>
      </c>
      <c r="G5" s="31" t="s">
        <v>44</v>
      </c>
      <c r="I5" s="32" t="s">
        <v>42</v>
      </c>
      <c r="J5" s="32" t="s">
        <v>43</v>
      </c>
      <c r="K5" s="32" t="s">
        <v>44</v>
      </c>
      <c r="M5" s="33" t="s">
        <v>42</v>
      </c>
      <c r="N5" s="33" t="s">
        <v>43</v>
      </c>
      <c r="O5" s="33" t="s">
        <v>44</v>
      </c>
      <c r="Q5" s="34" t="s">
        <v>42</v>
      </c>
      <c r="R5" s="34" t="s">
        <v>43</v>
      </c>
      <c r="S5" s="34" t="s">
        <v>44</v>
      </c>
    </row>
    <row r="6" spans="1:22" x14ac:dyDescent="0.25">
      <c r="A6" s="26"/>
      <c r="B6" s="26"/>
      <c r="C6" s="26"/>
    </row>
    <row r="7" spans="1:22" x14ac:dyDescent="0.25">
      <c r="A7" s="30">
        <v>5000</v>
      </c>
      <c r="B7" s="30"/>
      <c r="C7" s="30">
        <v>5000</v>
      </c>
      <c r="E7" s="28">
        <v>5000</v>
      </c>
      <c r="F7" s="28">
        <v>5000</v>
      </c>
      <c r="G7" s="28">
        <v>5000</v>
      </c>
      <c r="I7" s="28">
        <v>5000</v>
      </c>
      <c r="J7" s="28">
        <v>5000</v>
      </c>
      <c r="K7" s="28">
        <v>5000</v>
      </c>
      <c r="M7" s="28">
        <v>5000</v>
      </c>
      <c r="N7" s="28">
        <v>5000</v>
      </c>
      <c r="O7" s="28">
        <v>5000</v>
      </c>
      <c r="Q7" s="28">
        <v>2500</v>
      </c>
      <c r="R7" s="28">
        <v>2500</v>
      </c>
      <c r="S7" s="28">
        <v>2500</v>
      </c>
      <c r="U7" t="s">
        <v>45</v>
      </c>
    </row>
    <row r="8" spans="1:22" x14ac:dyDescent="0.25">
      <c r="A8" s="30">
        <v>20000</v>
      </c>
      <c r="B8" s="30"/>
      <c r="C8" s="30">
        <v>20000</v>
      </c>
      <c r="E8" s="28">
        <v>5000</v>
      </c>
      <c r="F8" s="28">
        <v>5000</v>
      </c>
      <c r="G8" s="28">
        <v>5000</v>
      </c>
      <c r="I8" s="28">
        <v>5000</v>
      </c>
      <c r="J8" s="28">
        <v>5000</v>
      </c>
      <c r="K8" s="28">
        <v>5000</v>
      </c>
      <c r="M8" s="28">
        <v>5000</v>
      </c>
      <c r="N8" s="28">
        <v>5000</v>
      </c>
      <c r="O8" s="28">
        <v>5000</v>
      </c>
      <c r="Q8" s="28">
        <v>2500</v>
      </c>
      <c r="R8" s="28">
        <v>5000</v>
      </c>
      <c r="S8" s="28">
        <v>2500</v>
      </c>
      <c r="U8" t="s">
        <v>46</v>
      </c>
      <c r="V8" t="s">
        <v>47</v>
      </c>
    </row>
    <row r="9" spans="1:22" x14ac:dyDescent="0.25">
      <c r="A9" s="30">
        <v>50000</v>
      </c>
      <c r="B9" s="30"/>
      <c r="C9" s="30">
        <v>50000</v>
      </c>
      <c r="E9" s="28">
        <v>7500</v>
      </c>
      <c r="F9" s="28">
        <v>10000</v>
      </c>
      <c r="G9" s="28">
        <v>5000</v>
      </c>
      <c r="I9" s="28">
        <v>7500</v>
      </c>
      <c r="J9" s="28">
        <v>10000</v>
      </c>
      <c r="K9" s="28">
        <v>5000</v>
      </c>
      <c r="M9" s="28">
        <v>7500</v>
      </c>
      <c r="N9" s="28">
        <v>10000</v>
      </c>
      <c r="O9" s="28">
        <v>5000</v>
      </c>
      <c r="Q9" s="28">
        <v>5000</v>
      </c>
      <c r="R9" s="28">
        <v>10000</v>
      </c>
      <c r="S9" s="28">
        <v>5000</v>
      </c>
      <c r="U9" t="s">
        <v>48</v>
      </c>
      <c r="V9" t="s">
        <v>49</v>
      </c>
    </row>
    <row r="10" spans="1:22" x14ac:dyDescent="0.25">
      <c r="A10" s="30">
        <v>100000</v>
      </c>
      <c r="B10" s="30"/>
      <c r="C10" s="30">
        <v>100000</v>
      </c>
      <c r="E10" s="28">
        <v>15000</v>
      </c>
      <c r="F10" s="28">
        <v>20000</v>
      </c>
      <c r="G10" s="28">
        <v>5000</v>
      </c>
      <c r="I10" s="28">
        <v>15000</v>
      </c>
      <c r="J10" s="28">
        <v>20000</v>
      </c>
      <c r="K10" s="28">
        <v>5000</v>
      </c>
      <c r="M10" s="28">
        <v>15000</v>
      </c>
      <c r="N10" s="28">
        <v>20000</v>
      </c>
      <c r="O10" s="28">
        <v>5000</v>
      </c>
      <c r="Q10" s="28">
        <v>10000</v>
      </c>
      <c r="R10" s="28">
        <v>15000</v>
      </c>
      <c r="S10" s="28">
        <v>5000</v>
      </c>
      <c r="U10" t="s">
        <v>50</v>
      </c>
      <c r="V10" t="s">
        <v>51</v>
      </c>
    </row>
    <row r="11" spans="1:22" x14ac:dyDescent="0.25">
      <c r="A11" s="30">
        <v>200000</v>
      </c>
      <c r="B11" s="30"/>
      <c r="C11" s="30">
        <v>180000</v>
      </c>
      <c r="E11" s="28">
        <f>F11*0.75</f>
        <v>27000</v>
      </c>
      <c r="F11" s="28">
        <f>$C$11*0.2</f>
        <v>36000</v>
      </c>
      <c r="G11" s="28">
        <f>F11*0.25</f>
        <v>9000</v>
      </c>
      <c r="I11" s="28">
        <f>J11*0.75</f>
        <v>20250</v>
      </c>
      <c r="J11" s="28">
        <f>C11*0.15</f>
        <v>27000</v>
      </c>
      <c r="K11" s="28">
        <f>J11*0.25</f>
        <v>6750</v>
      </c>
      <c r="M11" s="28">
        <f>N11*0.75</f>
        <v>13500</v>
      </c>
      <c r="N11" s="28">
        <f>C11*0.1</f>
        <v>18000</v>
      </c>
      <c r="O11" s="28">
        <f>N11*0.25</f>
        <v>4500</v>
      </c>
      <c r="Q11" s="28">
        <f>R11*0.75</f>
        <v>20250</v>
      </c>
      <c r="R11" s="28">
        <f>C11*0.15</f>
        <v>27000</v>
      </c>
      <c r="S11" s="28">
        <f>R11*0.25</f>
        <v>6750</v>
      </c>
    </row>
    <row r="12" spans="1:22" x14ac:dyDescent="0.25">
      <c r="A12" s="30">
        <v>300000</v>
      </c>
      <c r="B12" s="30"/>
      <c r="C12" s="30">
        <v>245000</v>
      </c>
      <c r="E12" s="28">
        <f t="shared" ref="E12:E18" si="0">F12*0.75</f>
        <v>36750</v>
      </c>
      <c r="F12" s="28">
        <f t="shared" ref="F12:F18" si="1">C12*0.2</f>
        <v>49000</v>
      </c>
      <c r="G12" s="28">
        <f t="shared" ref="G12:G18" si="2">F12*0.25</f>
        <v>12250</v>
      </c>
      <c r="I12" s="28">
        <f t="shared" ref="I12:I18" si="3">J12*0.75</f>
        <v>27562.5</v>
      </c>
      <c r="J12" s="28">
        <f t="shared" ref="J12:J18" si="4">C12*0.15</f>
        <v>36750</v>
      </c>
      <c r="K12" s="28">
        <f t="shared" ref="K12:K18" si="5">J12*0.25</f>
        <v>9187.5</v>
      </c>
      <c r="M12" s="28">
        <f t="shared" ref="M12:M18" si="6">N12*0.75</f>
        <v>18375</v>
      </c>
      <c r="N12" s="28">
        <f t="shared" ref="N12:N18" si="7">C12*0.1</f>
        <v>24500</v>
      </c>
      <c r="O12" s="28">
        <f t="shared" ref="O12:O18" si="8">N12*0.25</f>
        <v>6125</v>
      </c>
      <c r="Q12" s="28">
        <f t="shared" ref="Q12:Q18" si="9">R12*0.75</f>
        <v>27562.5</v>
      </c>
      <c r="R12" s="28">
        <f t="shared" ref="R12:R18" si="10">C12*0.15</f>
        <v>36750</v>
      </c>
      <c r="S12" s="28">
        <f t="shared" ref="S12:S18" si="11">R12*0.25</f>
        <v>9187.5</v>
      </c>
    </row>
    <row r="13" spans="1:22" x14ac:dyDescent="0.25">
      <c r="A13" s="30">
        <v>500000</v>
      </c>
      <c r="B13" s="30"/>
      <c r="C13" s="30">
        <v>345000</v>
      </c>
      <c r="E13" s="28">
        <f t="shared" si="0"/>
        <v>51750</v>
      </c>
      <c r="F13" s="28">
        <f t="shared" si="1"/>
        <v>69000</v>
      </c>
      <c r="G13" s="28">
        <f t="shared" si="2"/>
        <v>17250</v>
      </c>
      <c r="I13" s="28">
        <f t="shared" si="3"/>
        <v>38812.5</v>
      </c>
      <c r="J13" s="28">
        <f t="shared" si="4"/>
        <v>51750</v>
      </c>
      <c r="K13" s="28">
        <f t="shared" si="5"/>
        <v>12937.5</v>
      </c>
      <c r="M13" s="28">
        <f t="shared" si="6"/>
        <v>25875</v>
      </c>
      <c r="N13" s="28">
        <f t="shared" si="7"/>
        <v>34500</v>
      </c>
      <c r="O13" s="28">
        <f t="shared" si="8"/>
        <v>8625</v>
      </c>
      <c r="Q13" s="28">
        <f t="shared" si="9"/>
        <v>38812.5</v>
      </c>
      <c r="R13" s="28">
        <f t="shared" si="10"/>
        <v>51750</v>
      </c>
      <c r="S13" s="28">
        <f t="shared" si="11"/>
        <v>12937.5</v>
      </c>
    </row>
    <row r="14" spans="1:22" x14ac:dyDescent="0.25">
      <c r="A14" s="30">
        <v>750000</v>
      </c>
      <c r="B14" s="30"/>
      <c r="C14" s="30">
        <v>407500</v>
      </c>
      <c r="E14" s="28">
        <f t="shared" si="0"/>
        <v>61125</v>
      </c>
      <c r="F14" s="28">
        <f t="shared" si="1"/>
        <v>81500</v>
      </c>
      <c r="G14" s="28">
        <f t="shared" si="2"/>
        <v>20375</v>
      </c>
      <c r="I14" s="28">
        <f t="shared" si="3"/>
        <v>45843.75</v>
      </c>
      <c r="J14" s="28">
        <f t="shared" si="4"/>
        <v>61125</v>
      </c>
      <c r="K14" s="28">
        <f t="shared" si="5"/>
        <v>15281.25</v>
      </c>
      <c r="M14" s="28">
        <f t="shared" si="6"/>
        <v>30562.5</v>
      </c>
      <c r="N14" s="28">
        <f t="shared" si="7"/>
        <v>40750</v>
      </c>
      <c r="O14" s="28">
        <f t="shared" si="8"/>
        <v>10187.5</v>
      </c>
      <c r="Q14" s="28">
        <f t="shared" si="9"/>
        <v>45843.75</v>
      </c>
      <c r="R14" s="28">
        <f t="shared" si="10"/>
        <v>61125</v>
      </c>
      <c r="S14" s="28">
        <f t="shared" si="11"/>
        <v>15281.25</v>
      </c>
    </row>
    <row r="15" spans="1:22" x14ac:dyDescent="0.25">
      <c r="A15" s="30">
        <v>1000000</v>
      </c>
      <c r="B15" s="30"/>
      <c r="C15" s="30">
        <v>470000</v>
      </c>
      <c r="E15" s="28">
        <f t="shared" si="0"/>
        <v>70500</v>
      </c>
      <c r="F15" s="28">
        <f t="shared" si="1"/>
        <v>94000</v>
      </c>
      <c r="G15" s="28">
        <f t="shared" si="2"/>
        <v>23500</v>
      </c>
      <c r="I15" s="28">
        <f t="shared" si="3"/>
        <v>52875</v>
      </c>
      <c r="J15" s="28">
        <f t="shared" si="4"/>
        <v>70500</v>
      </c>
      <c r="K15" s="28">
        <f t="shared" si="5"/>
        <v>17625</v>
      </c>
      <c r="M15" s="28">
        <f t="shared" si="6"/>
        <v>35250</v>
      </c>
      <c r="N15" s="28">
        <f t="shared" si="7"/>
        <v>47000</v>
      </c>
      <c r="O15" s="28">
        <f t="shared" si="8"/>
        <v>11750</v>
      </c>
      <c r="Q15" s="28">
        <f t="shared" si="9"/>
        <v>52875</v>
      </c>
      <c r="R15" s="28">
        <f t="shared" si="10"/>
        <v>70500</v>
      </c>
      <c r="S15" s="28">
        <f t="shared" si="11"/>
        <v>17625</v>
      </c>
    </row>
    <row r="16" spans="1:22" x14ac:dyDescent="0.25">
      <c r="A16" s="30">
        <v>1500000</v>
      </c>
      <c r="B16" s="30"/>
      <c r="C16" s="30">
        <v>495000</v>
      </c>
      <c r="E16" s="28">
        <f t="shared" si="0"/>
        <v>74250</v>
      </c>
      <c r="F16" s="28">
        <f t="shared" si="1"/>
        <v>99000</v>
      </c>
      <c r="G16" s="28">
        <f t="shared" si="2"/>
        <v>24750</v>
      </c>
      <c r="I16" s="28">
        <f t="shared" si="3"/>
        <v>55687.5</v>
      </c>
      <c r="J16" s="28">
        <f t="shared" si="4"/>
        <v>74250</v>
      </c>
      <c r="K16" s="28">
        <f t="shared" si="5"/>
        <v>18562.5</v>
      </c>
      <c r="M16" s="28">
        <f t="shared" si="6"/>
        <v>37125</v>
      </c>
      <c r="N16" s="28">
        <f t="shared" si="7"/>
        <v>49500</v>
      </c>
      <c r="O16" s="28">
        <f t="shared" si="8"/>
        <v>12375</v>
      </c>
      <c r="Q16" s="28">
        <f t="shared" si="9"/>
        <v>55687.5</v>
      </c>
      <c r="R16" s="28">
        <f t="shared" si="10"/>
        <v>74250</v>
      </c>
      <c r="S16" s="28">
        <f t="shared" si="11"/>
        <v>18562.5</v>
      </c>
    </row>
    <row r="17" spans="1:21" x14ac:dyDescent="0.25">
      <c r="A17" s="30">
        <v>2000000</v>
      </c>
      <c r="B17" s="30"/>
      <c r="C17" s="30">
        <v>505000</v>
      </c>
      <c r="E17" s="28">
        <f t="shared" si="0"/>
        <v>75750</v>
      </c>
      <c r="F17" s="28">
        <f t="shared" si="1"/>
        <v>101000</v>
      </c>
      <c r="G17" s="28">
        <f t="shared" si="2"/>
        <v>25250</v>
      </c>
      <c r="I17" s="28">
        <f t="shared" si="3"/>
        <v>56812.5</v>
      </c>
      <c r="J17" s="28">
        <f t="shared" si="4"/>
        <v>75750</v>
      </c>
      <c r="K17" s="28">
        <f t="shared" si="5"/>
        <v>18937.5</v>
      </c>
      <c r="M17" s="28">
        <f t="shared" si="6"/>
        <v>37875</v>
      </c>
      <c r="N17" s="28">
        <f t="shared" si="7"/>
        <v>50500</v>
      </c>
      <c r="O17" s="28">
        <f t="shared" si="8"/>
        <v>12625</v>
      </c>
      <c r="Q17" s="28">
        <f t="shared" si="9"/>
        <v>56812.5</v>
      </c>
      <c r="R17" s="28">
        <f t="shared" si="10"/>
        <v>75750</v>
      </c>
      <c r="S17" s="28">
        <f t="shared" si="11"/>
        <v>18937.5</v>
      </c>
    </row>
    <row r="18" spans="1:21" x14ac:dyDescent="0.25">
      <c r="A18" s="30">
        <v>5000000</v>
      </c>
      <c r="B18" s="30"/>
      <c r="C18" s="30">
        <v>565000</v>
      </c>
      <c r="E18" s="28">
        <f t="shared" si="0"/>
        <v>84750</v>
      </c>
      <c r="F18" s="28">
        <f t="shared" si="1"/>
        <v>113000</v>
      </c>
      <c r="G18" s="28">
        <f t="shared" si="2"/>
        <v>28250</v>
      </c>
      <c r="I18" s="28">
        <f t="shared" si="3"/>
        <v>63562.5</v>
      </c>
      <c r="J18" s="28">
        <f t="shared" si="4"/>
        <v>84750</v>
      </c>
      <c r="K18" s="28">
        <f t="shared" si="5"/>
        <v>21187.5</v>
      </c>
      <c r="M18" s="28">
        <f t="shared" si="6"/>
        <v>42375</v>
      </c>
      <c r="N18" s="28">
        <f t="shared" si="7"/>
        <v>56500</v>
      </c>
      <c r="O18" s="28">
        <f t="shared" si="8"/>
        <v>14125</v>
      </c>
      <c r="Q18" s="28">
        <f t="shared" si="9"/>
        <v>63562.5</v>
      </c>
      <c r="R18" s="28">
        <f t="shared" si="10"/>
        <v>84750</v>
      </c>
      <c r="S18" s="28">
        <f t="shared" si="11"/>
        <v>21187.5</v>
      </c>
    </row>
    <row r="19" spans="1:21" x14ac:dyDescent="0.25">
      <c r="A19" s="27"/>
      <c r="B19" s="27"/>
      <c r="C19" s="27"/>
    </row>
    <row r="20" spans="1:21" x14ac:dyDescent="0.25">
      <c r="H20" s="23"/>
    </row>
    <row r="21" spans="1:21" ht="18.75" x14ac:dyDescent="0.3">
      <c r="A21" s="2" t="s">
        <v>52</v>
      </c>
      <c r="H21" s="1" t="s">
        <v>53</v>
      </c>
      <c r="I21" s="1"/>
      <c r="J21" s="1" t="s">
        <v>54</v>
      </c>
      <c r="K21" s="1"/>
      <c r="L21" s="1" t="s">
        <v>55</v>
      </c>
      <c r="M21" s="1"/>
      <c r="N21" s="69" t="s">
        <v>56</v>
      </c>
      <c r="O21" s="69"/>
      <c r="P21" s="1"/>
      <c r="Q21" s="69" t="s">
        <v>57</v>
      </c>
      <c r="R21" s="69"/>
      <c r="T21" s="69" t="s">
        <v>58</v>
      </c>
      <c r="U21" s="69"/>
    </row>
    <row r="22" spans="1:21" x14ac:dyDescent="0.25">
      <c r="H22" s="1"/>
      <c r="I22" s="1"/>
      <c r="J22" s="1"/>
      <c r="K22" s="1"/>
      <c r="L22" s="1"/>
      <c r="M22" s="1"/>
      <c r="N22" s="68">
        <v>2018</v>
      </c>
      <c r="O22" s="68">
        <v>2017</v>
      </c>
      <c r="P22" s="1"/>
      <c r="Q22" s="68">
        <v>2018</v>
      </c>
      <c r="R22" s="68">
        <v>2017</v>
      </c>
      <c r="T22" s="68">
        <v>2018</v>
      </c>
      <c r="U22" s="68">
        <v>2017</v>
      </c>
    </row>
    <row r="23" spans="1:21" x14ac:dyDescent="0.25">
      <c r="G23" s="45" t="s">
        <v>36</v>
      </c>
      <c r="H23" s="27">
        <v>20000</v>
      </c>
      <c r="I23" s="27"/>
      <c r="J23" s="27">
        <v>442000</v>
      </c>
      <c r="K23" s="27"/>
      <c r="L23" s="27">
        <v>234000</v>
      </c>
      <c r="M23" s="27"/>
      <c r="N23" s="27">
        <v>1040000</v>
      </c>
      <c r="O23" s="27">
        <v>1040000</v>
      </c>
      <c r="P23" s="27"/>
      <c r="Q23" s="27">
        <v>40226</v>
      </c>
      <c r="R23" s="27">
        <v>40226</v>
      </c>
      <c r="S23" s="27"/>
      <c r="T23" s="27">
        <v>184320</v>
      </c>
      <c r="U23" s="27">
        <v>184320</v>
      </c>
    </row>
    <row r="24" spans="1:21" x14ac:dyDescent="0.25">
      <c r="H24" s="27"/>
      <c r="I24" s="27"/>
      <c r="J24" s="27"/>
      <c r="K24" s="27"/>
      <c r="L24" s="27"/>
      <c r="M24" s="27"/>
      <c r="N24" s="27"/>
      <c r="O24" s="43"/>
      <c r="P24" s="27"/>
      <c r="Q24" s="27"/>
      <c r="R24" s="43"/>
      <c r="T24" s="27"/>
      <c r="U24" s="43"/>
    </row>
    <row r="25" spans="1:21" x14ac:dyDescent="0.25">
      <c r="A25" t="s">
        <v>59</v>
      </c>
      <c r="C25" s="37">
        <v>2500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1:21" x14ac:dyDescent="0.25">
      <c r="A26" t="s">
        <v>60</v>
      </c>
      <c r="C26" s="26" t="s">
        <v>61</v>
      </c>
      <c r="D26" s="38">
        <v>43007</v>
      </c>
      <c r="H26" s="27">
        <v>2500</v>
      </c>
      <c r="I26" s="27"/>
      <c r="J26" s="27"/>
      <c r="K26" s="27"/>
      <c r="L26" s="27">
        <v>10360</v>
      </c>
      <c r="M26" s="27"/>
      <c r="N26" s="27">
        <v>23600</v>
      </c>
      <c r="O26" s="27">
        <v>70800</v>
      </c>
      <c r="P26" s="27"/>
      <c r="Q26" s="27">
        <v>2681</v>
      </c>
      <c r="R26" s="27">
        <v>6033</v>
      </c>
      <c r="T26" s="27">
        <v>8373</v>
      </c>
      <c r="U26" s="27">
        <v>25118</v>
      </c>
    </row>
    <row r="27" spans="1:21" x14ac:dyDescent="0.25">
      <c r="A27" t="s">
        <v>43</v>
      </c>
      <c r="C27" s="39">
        <v>0.33</v>
      </c>
      <c r="D27" s="38">
        <v>43089</v>
      </c>
      <c r="H27" s="27">
        <v>1250</v>
      </c>
      <c r="I27" s="27"/>
      <c r="J27" s="27"/>
      <c r="K27" s="27"/>
      <c r="L27" s="27">
        <v>10360</v>
      </c>
      <c r="M27" s="27"/>
      <c r="N27" s="27">
        <v>23600</v>
      </c>
      <c r="O27" s="27">
        <v>23600</v>
      </c>
      <c r="P27" s="27"/>
      <c r="Q27" s="27">
        <v>2681</v>
      </c>
      <c r="R27" s="27">
        <v>2011</v>
      </c>
      <c r="T27" s="27">
        <v>8373</v>
      </c>
      <c r="U27" s="27">
        <v>8373</v>
      </c>
    </row>
    <row r="28" spans="1:21" x14ac:dyDescent="0.25">
      <c r="C28" s="39">
        <v>0.33</v>
      </c>
      <c r="D28" s="38">
        <v>42786</v>
      </c>
      <c r="H28" s="27">
        <v>1250</v>
      </c>
      <c r="I28" s="27"/>
      <c r="J28" s="27"/>
      <c r="K28" s="27"/>
      <c r="L28" s="27">
        <v>10360</v>
      </c>
      <c r="M28" s="27"/>
      <c r="N28" s="27">
        <v>23600</v>
      </c>
      <c r="O28" s="27"/>
      <c r="P28" s="27"/>
      <c r="Q28" s="27">
        <v>2681</v>
      </c>
      <c r="R28" s="27"/>
      <c r="T28" s="27">
        <v>8373</v>
      </c>
    </row>
    <row r="29" spans="1:21" ht="15.75" thickBot="1" x14ac:dyDescent="0.3">
      <c r="C29" s="26"/>
      <c r="G29" s="40" t="s">
        <v>62</v>
      </c>
      <c r="H29" s="41">
        <v>5000</v>
      </c>
      <c r="I29" s="42"/>
      <c r="J29" s="41">
        <v>47400</v>
      </c>
      <c r="K29" s="42"/>
      <c r="L29" s="41">
        <v>31080</v>
      </c>
      <c r="M29" s="42"/>
      <c r="N29" s="41">
        <v>70800</v>
      </c>
      <c r="O29" s="41">
        <v>94400</v>
      </c>
      <c r="P29" s="42"/>
      <c r="Q29" s="41">
        <v>8045</v>
      </c>
      <c r="R29" s="41">
        <v>8045</v>
      </c>
      <c r="T29" s="44">
        <v>25118</v>
      </c>
      <c r="U29" s="41">
        <v>33491</v>
      </c>
    </row>
    <row r="30" spans="1:21" x14ac:dyDescent="0.25">
      <c r="A30" t="s">
        <v>44</v>
      </c>
      <c r="C30" s="26" t="s">
        <v>63</v>
      </c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21" x14ac:dyDescent="0.25">
      <c r="C31" s="26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21" x14ac:dyDescent="0.25">
      <c r="A32" s="36" t="s">
        <v>64</v>
      </c>
      <c r="C32" s="39">
        <v>0.5</v>
      </c>
      <c r="D32" s="38">
        <v>43089</v>
      </c>
      <c r="H32" s="27"/>
      <c r="I32" s="27"/>
      <c r="J32" s="27">
        <v>23700</v>
      </c>
      <c r="K32" s="27"/>
      <c r="L32" s="27"/>
      <c r="M32" s="27"/>
      <c r="N32" s="27"/>
      <c r="O32" s="27"/>
      <c r="P32" s="27"/>
      <c r="Q32" s="27"/>
      <c r="R32" s="27"/>
    </row>
    <row r="33" spans="1:18" x14ac:dyDescent="0.25">
      <c r="C33" s="39">
        <v>0.5</v>
      </c>
      <c r="D33" s="38">
        <v>42786</v>
      </c>
      <c r="H33" s="27"/>
      <c r="I33" s="27"/>
      <c r="J33" s="27">
        <v>23700</v>
      </c>
      <c r="K33" s="27"/>
      <c r="L33" s="27"/>
      <c r="M33" s="27"/>
      <c r="N33" s="27"/>
      <c r="O33" s="27"/>
      <c r="P33" s="27"/>
      <c r="Q33" s="27"/>
      <c r="R33" s="27"/>
    </row>
    <row r="35" spans="1:18" x14ac:dyDescent="0.25">
      <c r="A35" s="1" t="s">
        <v>65</v>
      </c>
    </row>
    <row r="38" spans="1:18" ht="18.75" x14ac:dyDescent="0.3">
      <c r="A38" s="2" t="s">
        <v>66</v>
      </c>
    </row>
    <row r="40" spans="1:18" x14ac:dyDescent="0.25">
      <c r="A40" s="1" t="s">
        <v>67</v>
      </c>
      <c r="B40" s="1"/>
      <c r="C40" s="46">
        <v>362650</v>
      </c>
    </row>
    <row r="41" spans="1:18" x14ac:dyDescent="0.25">
      <c r="A41" s="1" t="s">
        <v>68</v>
      </c>
      <c r="B41" s="1"/>
      <c r="C41" s="46">
        <v>530012</v>
      </c>
    </row>
    <row r="42" spans="1:18" x14ac:dyDescent="0.25">
      <c r="A42" s="1" t="s">
        <v>69</v>
      </c>
      <c r="B42" s="1"/>
      <c r="C42" s="46">
        <v>403535</v>
      </c>
    </row>
  </sheetData>
  <mergeCells count="7">
    <mergeCell ref="T21:U21"/>
    <mergeCell ref="N21:O21"/>
    <mergeCell ref="E4:G4"/>
    <mergeCell ref="I4:K4"/>
    <mergeCell ref="M4:O4"/>
    <mergeCell ref="Q4:S4"/>
    <mergeCell ref="Q21:R21"/>
  </mergeCells>
  <pageMargins left="0.23622047244094491" right="0.23622047244094491" top="0.74803149606299213" bottom="0.74803149606299213" header="0.31496062992125984" footer="0.31496062992125984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46"/>
  <sheetViews>
    <sheetView topLeftCell="A7" workbookViewId="0">
      <selection activeCell="H46" sqref="H46"/>
    </sheetView>
  </sheetViews>
  <sheetFormatPr defaultRowHeight="15" x14ac:dyDescent="0.25"/>
  <cols>
    <col min="1" max="1" width="11.140625" customWidth="1"/>
    <col min="2" max="2" width="8.5703125" customWidth="1"/>
    <col min="3" max="3" width="14.85546875" customWidth="1"/>
    <col min="4" max="4" width="12.5703125" customWidth="1"/>
    <col min="5" max="5" width="10" bestFit="1" customWidth="1"/>
    <col min="6" max="6" width="10.42578125" customWidth="1"/>
    <col min="7" max="7" width="13.28515625" bestFit="1" customWidth="1"/>
    <col min="9" max="9" width="13.7109375" bestFit="1" customWidth="1"/>
    <col min="13" max="13" width="10" customWidth="1"/>
    <col min="14" max="15" width="10.85546875" customWidth="1"/>
    <col min="17" max="17" width="9.85546875" customWidth="1"/>
    <col min="18" max="18" width="11" customWidth="1"/>
  </cols>
  <sheetData>
    <row r="1" spans="1:22" ht="21" x14ac:dyDescent="0.35">
      <c r="A1" s="29" t="s">
        <v>35</v>
      </c>
      <c r="B1" s="1"/>
      <c r="C1" s="1"/>
      <c r="D1" s="1"/>
      <c r="E1" s="1"/>
      <c r="F1" s="1"/>
      <c r="G1" s="1"/>
    </row>
    <row r="2" spans="1:22" x14ac:dyDescent="0.25">
      <c r="A2" s="1"/>
      <c r="B2" s="1"/>
      <c r="C2" s="1"/>
      <c r="D2" s="1"/>
      <c r="E2" s="1"/>
      <c r="F2" s="1"/>
      <c r="G2" s="1"/>
    </row>
    <row r="3" spans="1:22" x14ac:dyDescent="0.25">
      <c r="A3" s="1"/>
      <c r="B3" s="1"/>
      <c r="C3" s="1"/>
      <c r="D3" s="1"/>
      <c r="E3" s="1"/>
      <c r="F3" s="1"/>
      <c r="G3" s="1"/>
    </row>
    <row r="4" spans="1:22" x14ac:dyDescent="0.25">
      <c r="A4" s="35" t="s">
        <v>36</v>
      </c>
      <c r="B4" s="68"/>
      <c r="C4" s="35" t="s">
        <v>37</v>
      </c>
      <c r="D4" s="1"/>
      <c r="E4" s="70" t="s">
        <v>38</v>
      </c>
      <c r="F4" s="70"/>
      <c r="G4" s="70"/>
      <c r="I4" s="71" t="s">
        <v>39</v>
      </c>
      <c r="J4" s="71"/>
      <c r="K4" s="71"/>
      <c r="M4" s="72" t="s">
        <v>40</v>
      </c>
      <c r="N4" s="72"/>
      <c r="O4" s="72"/>
      <c r="Q4" s="73" t="s">
        <v>70</v>
      </c>
      <c r="R4" s="73"/>
      <c r="S4" s="73"/>
    </row>
    <row r="5" spans="1:22" x14ac:dyDescent="0.25">
      <c r="A5" s="68"/>
      <c r="B5" s="68"/>
      <c r="C5" s="68"/>
      <c r="D5" s="1"/>
      <c r="E5" s="31" t="s">
        <v>42</v>
      </c>
      <c r="F5" s="31" t="s">
        <v>43</v>
      </c>
      <c r="G5" s="31" t="s">
        <v>44</v>
      </c>
      <c r="I5" s="32" t="s">
        <v>42</v>
      </c>
      <c r="J5" s="32" t="s">
        <v>43</v>
      </c>
      <c r="K5" s="32" t="s">
        <v>44</v>
      </c>
      <c r="M5" s="33" t="s">
        <v>42</v>
      </c>
      <c r="N5" s="33" t="s">
        <v>43</v>
      </c>
      <c r="O5" s="33" t="s">
        <v>44</v>
      </c>
      <c r="Q5" s="47" t="s">
        <v>42</v>
      </c>
      <c r="R5" s="47" t="s">
        <v>43</v>
      </c>
      <c r="S5" s="47" t="s">
        <v>44</v>
      </c>
    </row>
    <row r="6" spans="1:22" x14ac:dyDescent="0.25">
      <c r="A6" s="26"/>
      <c r="B6" s="26"/>
      <c r="C6" s="26"/>
    </row>
    <row r="7" spans="1:22" x14ac:dyDescent="0.25">
      <c r="A7" s="30">
        <v>5000</v>
      </c>
      <c r="B7" s="30"/>
      <c r="C7" s="30">
        <v>5000</v>
      </c>
      <c r="E7" s="28">
        <v>5000</v>
      </c>
      <c r="F7" s="28">
        <v>5000</v>
      </c>
      <c r="G7" s="28">
        <v>5000</v>
      </c>
      <c r="I7" s="28">
        <v>5000</v>
      </c>
      <c r="J7" s="28">
        <v>5000</v>
      </c>
      <c r="K7" s="28">
        <v>5000</v>
      </c>
      <c r="M7" s="28">
        <v>5000</v>
      </c>
      <c r="N7" s="28">
        <v>5000</v>
      </c>
      <c r="O7" s="28">
        <v>5000</v>
      </c>
      <c r="Q7" s="28">
        <v>2500</v>
      </c>
      <c r="R7" s="28">
        <v>2500</v>
      </c>
      <c r="S7" s="28">
        <v>2500</v>
      </c>
      <c r="U7" t="s">
        <v>45</v>
      </c>
    </row>
    <row r="8" spans="1:22" x14ac:dyDescent="0.25">
      <c r="A8" s="30">
        <v>20000</v>
      </c>
      <c r="B8" s="30"/>
      <c r="C8" s="30">
        <v>20000</v>
      </c>
      <c r="E8" s="28">
        <v>5000</v>
      </c>
      <c r="F8" s="28">
        <v>5000</v>
      </c>
      <c r="G8" s="28">
        <v>5000</v>
      </c>
      <c r="I8" s="28">
        <v>5000</v>
      </c>
      <c r="J8" s="28">
        <v>5000</v>
      </c>
      <c r="K8" s="28">
        <v>5000</v>
      </c>
      <c r="M8" s="28">
        <v>5000</v>
      </c>
      <c r="N8" s="28">
        <v>5000</v>
      </c>
      <c r="O8" s="28">
        <v>5000</v>
      </c>
      <c r="Q8" s="28">
        <v>2500</v>
      </c>
      <c r="R8" s="28">
        <v>5000</v>
      </c>
      <c r="S8" s="28">
        <v>2500</v>
      </c>
      <c r="U8" t="s">
        <v>46</v>
      </c>
      <c r="V8" t="s">
        <v>47</v>
      </c>
    </row>
    <row r="9" spans="1:22" x14ac:dyDescent="0.25">
      <c r="A9" s="30">
        <v>50000</v>
      </c>
      <c r="B9" s="30"/>
      <c r="C9" s="30">
        <v>50000</v>
      </c>
      <c r="E9" s="28">
        <v>7500</v>
      </c>
      <c r="F9" s="28">
        <v>10000</v>
      </c>
      <c r="G9" s="28">
        <v>5000</v>
      </c>
      <c r="I9" s="28">
        <v>7500</v>
      </c>
      <c r="J9" s="28">
        <v>10000</v>
      </c>
      <c r="K9" s="28">
        <v>5000</v>
      </c>
      <c r="M9" s="28">
        <v>7500</v>
      </c>
      <c r="N9" s="28">
        <v>10000</v>
      </c>
      <c r="O9" s="28">
        <v>5000</v>
      </c>
      <c r="Q9" s="28">
        <f t="shared" ref="Q9:Q18" si="0">R9*0.75</f>
        <v>6750</v>
      </c>
      <c r="R9" s="28">
        <f t="shared" ref="R9:R10" si="1">C9*0.18</f>
        <v>9000</v>
      </c>
      <c r="S9" s="28">
        <v>2500</v>
      </c>
      <c r="U9" t="s">
        <v>48</v>
      </c>
      <c r="V9" t="s">
        <v>49</v>
      </c>
    </row>
    <row r="10" spans="1:22" x14ac:dyDescent="0.25">
      <c r="A10" s="30">
        <v>100000</v>
      </c>
      <c r="B10" s="30"/>
      <c r="C10" s="30">
        <v>100000</v>
      </c>
      <c r="E10" s="28">
        <v>15000</v>
      </c>
      <c r="F10" s="28">
        <v>20000</v>
      </c>
      <c r="G10" s="28">
        <v>5000</v>
      </c>
      <c r="I10" s="28">
        <v>15000</v>
      </c>
      <c r="J10" s="28">
        <v>20000</v>
      </c>
      <c r="K10" s="28">
        <v>5000</v>
      </c>
      <c r="M10" s="28">
        <v>15000</v>
      </c>
      <c r="N10" s="28">
        <v>20000</v>
      </c>
      <c r="O10" s="28">
        <v>5000</v>
      </c>
      <c r="Q10" s="28">
        <f t="shared" si="0"/>
        <v>13500</v>
      </c>
      <c r="R10" s="28">
        <f t="shared" si="1"/>
        <v>18000</v>
      </c>
      <c r="S10" s="28">
        <f t="shared" ref="S10" si="2">R10*0.25</f>
        <v>4500</v>
      </c>
      <c r="U10" t="s">
        <v>50</v>
      </c>
      <c r="V10" t="s">
        <v>71</v>
      </c>
    </row>
    <row r="11" spans="1:22" x14ac:dyDescent="0.25">
      <c r="A11" s="30">
        <v>200000</v>
      </c>
      <c r="B11" s="30"/>
      <c r="C11" s="30">
        <v>180000</v>
      </c>
      <c r="E11" s="28">
        <f>F11*0.75</f>
        <v>27000</v>
      </c>
      <c r="F11" s="28">
        <f>$C$11*0.2</f>
        <v>36000</v>
      </c>
      <c r="G11" s="28">
        <f>F11*0.25</f>
        <v>9000</v>
      </c>
      <c r="I11" s="28">
        <f>J11*0.75</f>
        <v>20250</v>
      </c>
      <c r="J11" s="28">
        <f>C11*0.15</f>
        <v>27000</v>
      </c>
      <c r="K11" s="28">
        <f>J11*0.25</f>
        <v>6750</v>
      </c>
      <c r="M11" s="28">
        <f>N11*0.75</f>
        <v>13500</v>
      </c>
      <c r="N11" s="28">
        <f>C11*0.1</f>
        <v>18000</v>
      </c>
      <c r="O11" s="28">
        <f>N11*0.25</f>
        <v>4500</v>
      </c>
      <c r="Q11" s="28">
        <f t="shared" si="0"/>
        <v>24300</v>
      </c>
      <c r="R11" s="28">
        <f>C11*0.18</f>
        <v>32400</v>
      </c>
      <c r="S11" s="28">
        <f>R11*0.25</f>
        <v>8100</v>
      </c>
    </row>
    <row r="12" spans="1:22" x14ac:dyDescent="0.25">
      <c r="A12" s="30">
        <v>300000</v>
      </c>
      <c r="B12" s="30"/>
      <c r="C12" s="30">
        <v>245000</v>
      </c>
      <c r="E12" s="28">
        <f t="shared" ref="E12:E18" si="3">F12*0.75</f>
        <v>36750</v>
      </c>
      <c r="F12" s="28">
        <f t="shared" ref="F12:F18" si="4">C12*0.2</f>
        <v>49000</v>
      </c>
      <c r="G12" s="28">
        <f t="shared" ref="G12:G18" si="5">F12*0.25</f>
        <v>12250</v>
      </c>
      <c r="I12" s="28">
        <f t="shared" ref="I12:I18" si="6">J12*0.75</f>
        <v>27562.5</v>
      </c>
      <c r="J12" s="28">
        <f t="shared" ref="J12:J18" si="7">C12*0.15</f>
        <v>36750</v>
      </c>
      <c r="K12" s="28">
        <f t="shared" ref="K12:K18" si="8">J12*0.25</f>
        <v>9187.5</v>
      </c>
      <c r="M12" s="28">
        <f t="shared" ref="M12:M18" si="9">N12*0.75</f>
        <v>18375</v>
      </c>
      <c r="N12" s="28">
        <f t="shared" ref="N12:N18" si="10">C12*0.1</f>
        <v>24500</v>
      </c>
      <c r="O12" s="28">
        <f t="shared" ref="O12:O18" si="11">N12*0.25</f>
        <v>6125</v>
      </c>
      <c r="Q12" s="28">
        <f t="shared" si="0"/>
        <v>33075</v>
      </c>
      <c r="R12" s="28">
        <f t="shared" ref="R12:R18" si="12">C12*0.18</f>
        <v>44100</v>
      </c>
      <c r="S12" s="28">
        <f t="shared" ref="S12:S18" si="13">R12*0.25</f>
        <v>11025</v>
      </c>
    </row>
    <row r="13" spans="1:22" x14ac:dyDescent="0.25">
      <c r="A13" s="30">
        <v>500000</v>
      </c>
      <c r="B13" s="30"/>
      <c r="C13" s="30">
        <v>345000</v>
      </c>
      <c r="E13" s="28">
        <f t="shared" si="3"/>
        <v>51750</v>
      </c>
      <c r="F13" s="28">
        <f t="shared" si="4"/>
        <v>69000</v>
      </c>
      <c r="G13" s="28">
        <f t="shared" si="5"/>
        <v>17250</v>
      </c>
      <c r="I13" s="28">
        <f t="shared" si="6"/>
        <v>38812.5</v>
      </c>
      <c r="J13" s="28">
        <f t="shared" si="7"/>
        <v>51750</v>
      </c>
      <c r="K13" s="28">
        <f t="shared" si="8"/>
        <v>12937.5</v>
      </c>
      <c r="M13" s="28">
        <f t="shared" si="9"/>
        <v>25875</v>
      </c>
      <c r="N13" s="28">
        <f t="shared" si="10"/>
        <v>34500</v>
      </c>
      <c r="O13" s="28">
        <f t="shared" si="11"/>
        <v>8625</v>
      </c>
      <c r="Q13" s="28">
        <f t="shared" si="0"/>
        <v>46575</v>
      </c>
      <c r="R13" s="28">
        <f t="shared" si="12"/>
        <v>62100</v>
      </c>
      <c r="S13" s="28">
        <f t="shared" si="13"/>
        <v>15525</v>
      </c>
    </row>
    <row r="14" spans="1:22" x14ac:dyDescent="0.25">
      <c r="A14" s="30">
        <v>750000</v>
      </c>
      <c r="B14" s="30"/>
      <c r="C14" s="30">
        <v>407500</v>
      </c>
      <c r="E14" s="28">
        <f t="shared" si="3"/>
        <v>61125</v>
      </c>
      <c r="F14" s="28">
        <f t="shared" si="4"/>
        <v>81500</v>
      </c>
      <c r="G14" s="28">
        <f t="shared" si="5"/>
        <v>20375</v>
      </c>
      <c r="I14" s="28">
        <f t="shared" si="6"/>
        <v>45843.75</v>
      </c>
      <c r="J14" s="28">
        <f t="shared" si="7"/>
        <v>61125</v>
      </c>
      <c r="K14" s="28">
        <f t="shared" si="8"/>
        <v>15281.25</v>
      </c>
      <c r="M14" s="28">
        <f t="shared" si="9"/>
        <v>30562.5</v>
      </c>
      <c r="N14" s="28">
        <f t="shared" si="10"/>
        <v>40750</v>
      </c>
      <c r="O14" s="28">
        <f t="shared" si="11"/>
        <v>10187.5</v>
      </c>
      <c r="Q14" s="28">
        <f t="shared" si="0"/>
        <v>55012.5</v>
      </c>
      <c r="R14" s="28">
        <f t="shared" si="12"/>
        <v>73350</v>
      </c>
      <c r="S14" s="28">
        <f t="shared" si="13"/>
        <v>18337.5</v>
      </c>
    </row>
    <row r="15" spans="1:22" x14ac:dyDescent="0.25">
      <c r="A15" s="30">
        <v>1000000</v>
      </c>
      <c r="B15" s="30"/>
      <c r="C15" s="30">
        <v>470000</v>
      </c>
      <c r="E15" s="28">
        <f t="shared" si="3"/>
        <v>70500</v>
      </c>
      <c r="F15" s="28">
        <f t="shared" si="4"/>
        <v>94000</v>
      </c>
      <c r="G15" s="28">
        <f t="shared" si="5"/>
        <v>23500</v>
      </c>
      <c r="I15" s="28">
        <f t="shared" si="6"/>
        <v>52875</v>
      </c>
      <c r="J15" s="28">
        <f t="shared" si="7"/>
        <v>70500</v>
      </c>
      <c r="K15" s="28">
        <f t="shared" si="8"/>
        <v>17625</v>
      </c>
      <c r="M15" s="28">
        <f t="shared" si="9"/>
        <v>35250</v>
      </c>
      <c r="N15" s="28">
        <f t="shared" si="10"/>
        <v>47000</v>
      </c>
      <c r="O15" s="28">
        <f t="shared" si="11"/>
        <v>11750</v>
      </c>
      <c r="Q15" s="28">
        <f t="shared" si="0"/>
        <v>63450</v>
      </c>
      <c r="R15" s="28">
        <f t="shared" si="12"/>
        <v>84600</v>
      </c>
      <c r="S15" s="28">
        <f t="shared" si="13"/>
        <v>21150</v>
      </c>
    </row>
    <row r="16" spans="1:22" x14ac:dyDescent="0.25">
      <c r="A16" s="30">
        <v>1500000</v>
      </c>
      <c r="B16" s="30"/>
      <c r="C16" s="30">
        <v>495000</v>
      </c>
      <c r="E16" s="28">
        <f t="shared" si="3"/>
        <v>74250</v>
      </c>
      <c r="F16" s="28">
        <f t="shared" si="4"/>
        <v>99000</v>
      </c>
      <c r="G16" s="28">
        <f t="shared" si="5"/>
        <v>24750</v>
      </c>
      <c r="I16" s="28">
        <f t="shared" si="6"/>
        <v>55687.5</v>
      </c>
      <c r="J16" s="28">
        <f t="shared" si="7"/>
        <v>74250</v>
      </c>
      <c r="K16" s="28">
        <f t="shared" si="8"/>
        <v>18562.5</v>
      </c>
      <c r="M16" s="28">
        <f t="shared" si="9"/>
        <v>37125</v>
      </c>
      <c r="N16" s="28">
        <f t="shared" si="10"/>
        <v>49500</v>
      </c>
      <c r="O16" s="28">
        <f t="shared" si="11"/>
        <v>12375</v>
      </c>
      <c r="Q16" s="28">
        <f t="shared" si="0"/>
        <v>66825</v>
      </c>
      <c r="R16" s="28">
        <f t="shared" si="12"/>
        <v>89100</v>
      </c>
      <c r="S16" s="28">
        <f t="shared" si="13"/>
        <v>22275</v>
      </c>
    </row>
    <row r="17" spans="1:21" x14ac:dyDescent="0.25">
      <c r="A17" s="30">
        <v>2000000</v>
      </c>
      <c r="B17" s="30"/>
      <c r="C17" s="30">
        <v>505000</v>
      </c>
      <c r="E17" s="28">
        <f t="shared" si="3"/>
        <v>75750</v>
      </c>
      <c r="F17" s="28">
        <f t="shared" si="4"/>
        <v>101000</v>
      </c>
      <c r="G17" s="28">
        <f t="shared" si="5"/>
        <v>25250</v>
      </c>
      <c r="I17" s="28">
        <f t="shared" si="6"/>
        <v>56812.5</v>
      </c>
      <c r="J17" s="28">
        <f t="shared" si="7"/>
        <v>75750</v>
      </c>
      <c r="K17" s="28">
        <f t="shared" si="8"/>
        <v>18937.5</v>
      </c>
      <c r="M17" s="28">
        <f t="shared" si="9"/>
        <v>37875</v>
      </c>
      <c r="N17" s="28">
        <f t="shared" si="10"/>
        <v>50500</v>
      </c>
      <c r="O17" s="28">
        <f t="shared" si="11"/>
        <v>12625</v>
      </c>
      <c r="Q17" s="28">
        <f t="shared" si="0"/>
        <v>68175</v>
      </c>
      <c r="R17" s="28">
        <f t="shared" si="12"/>
        <v>90900</v>
      </c>
      <c r="S17" s="28">
        <f t="shared" si="13"/>
        <v>22725</v>
      </c>
    </row>
    <row r="18" spans="1:21" x14ac:dyDescent="0.25">
      <c r="A18" s="30">
        <v>5000000</v>
      </c>
      <c r="B18" s="30"/>
      <c r="C18" s="30">
        <v>565000</v>
      </c>
      <c r="E18" s="28">
        <f t="shared" si="3"/>
        <v>84750</v>
      </c>
      <c r="F18" s="28">
        <f t="shared" si="4"/>
        <v>113000</v>
      </c>
      <c r="G18" s="28">
        <f t="shared" si="5"/>
        <v>28250</v>
      </c>
      <c r="I18" s="28">
        <f t="shared" si="6"/>
        <v>63562.5</v>
      </c>
      <c r="J18" s="28">
        <f t="shared" si="7"/>
        <v>84750</v>
      </c>
      <c r="K18" s="28">
        <f t="shared" si="8"/>
        <v>21187.5</v>
      </c>
      <c r="M18" s="28">
        <f t="shared" si="9"/>
        <v>42375</v>
      </c>
      <c r="N18" s="28">
        <f t="shared" si="10"/>
        <v>56500</v>
      </c>
      <c r="O18" s="28">
        <f t="shared" si="11"/>
        <v>14125</v>
      </c>
      <c r="Q18" s="28">
        <f t="shared" si="0"/>
        <v>76275</v>
      </c>
      <c r="R18" s="28">
        <f t="shared" si="12"/>
        <v>101700</v>
      </c>
      <c r="S18" s="28">
        <f t="shared" si="13"/>
        <v>25425</v>
      </c>
    </row>
    <row r="19" spans="1:21" x14ac:dyDescent="0.25">
      <c r="A19" s="27"/>
      <c r="B19" s="27"/>
      <c r="C19" s="27"/>
    </row>
    <row r="20" spans="1:21" x14ac:dyDescent="0.25">
      <c r="H20" s="23"/>
    </row>
    <row r="21" spans="1:21" ht="18.75" x14ac:dyDescent="0.3">
      <c r="A21" s="2" t="s">
        <v>52</v>
      </c>
      <c r="H21" s="1" t="s">
        <v>72</v>
      </c>
      <c r="I21" s="1"/>
      <c r="J21" s="1" t="s">
        <v>54</v>
      </c>
      <c r="K21" s="1"/>
      <c r="L21" s="1" t="s">
        <v>55</v>
      </c>
      <c r="M21" s="1"/>
      <c r="N21" s="69" t="s">
        <v>56</v>
      </c>
      <c r="O21" s="69"/>
      <c r="P21" s="1"/>
      <c r="Q21" s="69" t="s">
        <v>57</v>
      </c>
      <c r="R21" s="69"/>
      <c r="T21" s="69" t="s">
        <v>58</v>
      </c>
      <c r="U21" s="69"/>
    </row>
    <row r="22" spans="1:21" x14ac:dyDescent="0.25">
      <c r="H22" s="1"/>
      <c r="I22" s="1"/>
      <c r="J22" s="1"/>
      <c r="K22" s="1"/>
      <c r="L22" s="1"/>
      <c r="M22" s="1"/>
      <c r="N22" s="68"/>
      <c r="O22" s="68">
        <v>2021</v>
      </c>
      <c r="P22" s="1"/>
      <c r="Q22" s="68"/>
      <c r="R22" s="68">
        <v>2021</v>
      </c>
      <c r="T22" s="68"/>
      <c r="U22" s="68">
        <v>2021</v>
      </c>
    </row>
    <row r="23" spans="1:21" x14ac:dyDescent="0.25">
      <c r="G23" s="45" t="s">
        <v>36</v>
      </c>
      <c r="H23" s="27">
        <v>24000</v>
      </c>
      <c r="I23" s="27"/>
      <c r="J23" s="27">
        <v>703000</v>
      </c>
      <c r="K23" s="27"/>
      <c r="L23" s="27">
        <v>282000</v>
      </c>
      <c r="M23" s="27"/>
      <c r="N23" s="27"/>
      <c r="O23" s="27">
        <v>755000</v>
      </c>
      <c r="P23" s="27"/>
      <c r="Q23" s="27"/>
      <c r="R23" s="27">
        <v>57000</v>
      </c>
      <c r="S23" s="27"/>
      <c r="T23" s="27"/>
      <c r="U23" s="27">
        <v>427000</v>
      </c>
    </row>
    <row r="24" spans="1:21" x14ac:dyDescent="0.25">
      <c r="G24" s="45" t="s">
        <v>73</v>
      </c>
      <c r="H24" s="27">
        <v>24000</v>
      </c>
      <c r="I24" s="27"/>
      <c r="J24" s="27">
        <v>395700</v>
      </c>
      <c r="K24" s="27"/>
      <c r="L24" s="27">
        <v>236000</v>
      </c>
      <c r="M24" s="27"/>
      <c r="N24" s="27"/>
      <c r="O24" s="27">
        <v>408750</v>
      </c>
      <c r="P24" s="27"/>
      <c r="Q24" s="27"/>
      <c r="R24" s="27">
        <v>57000</v>
      </c>
      <c r="S24" s="27"/>
      <c r="T24" s="27"/>
      <c r="U24" s="27">
        <v>308500</v>
      </c>
    </row>
    <row r="25" spans="1:21" x14ac:dyDescent="0.25">
      <c r="H25" s="27"/>
      <c r="I25" s="27"/>
      <c r="J25" s="27"/>
      <c r="K25" s="27"/>
      <c r="L25" s="27"/>
      <c r="M25" s="27"/>
      <c r="N25" s="27"/>
      <c r="O25" s="43"/>
      <c r="P25" s="27"/>
      <c r="Q25" s="27"/>
      <c r="R25" s="43"/>
      <c r="T25" s="27"/>
      <c r="U25" s="43"/>
    </row>
    <row r="26" spans="1:21" x14ac:dyDescent="0.25">
      <c r="A26" t="s">
        <v>59</v>
      </c>
      <c r="C26" s="37">
        <v>2500</v>
      </c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21" x14ac:dyDescent="0.25">
      <c r="A27" t="s">
        <v>60</v>
      </c>
      <c r="C27" s="26" t="s">
        <v>61</v>
      </c>
      <c r="D27" s="38">
        <v>43007</v>
      </c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T27" s="27"/>
      <c r="U27" s="27"/>
    </row>
    <row r="28" spans="1:21" x14ac:dyDescent="0.25">
      <c r="A28" t="s">
        <v>43</v>
      </c>
      <c r="C28" s="39">
        <v>0.33</v>
      </c>
      <c r="D28" s="38">
        <v>43089</v>
      </c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T28" s="27"/>
      <c r="U28" s="27"/>
    </row>
    <row r="29" spans="1:21" x14ac:dyDescent="0.25">
      <c r="C29" s="39">
        <v>0.33</v>
      </c>
      <c r="D29" s="38">
        <v>42786</v>
      </c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T29" s="27"/>
    </row>
    <row r="30" spans="1:21" ht="15.75" thickBot="1" x14ac:dyDescent="0.3">
      <c r="C30" s="26"/>
      <c r="G30" s="40" t="s">
        <v>62</v>
      </c>
      <c r="H30" s="41">
        <v>4113</v>
      </c>
      <c r="I30" s="42"/>
      <c r="J30" s="41">
        <v>65461</v>
      </c>
      <c r="K30" s="42"/>
      <c r="L30" s="41">
        <v>39558</v>
      </c>
      <c r="M30" s="42"/>
      <c r="N30" s="41"/>
      <c r="O30" s="41">
        <v>67538</v>
      </c>
      <c r="P30" s="42"/>
      <c r="Q30" s="41"/>
      <c r="R30" s="41">
        <v>8045</v>
      </c>
      <c r="T30" s="44"/>
      <c r="U30" s="41">
        <v>33491</v>
      </c>
    </row>
    <row r="31" spans="1:21" x14ac:dyDescent="0.25">
      <c r="A31" t="s">
        <v>44</v>
      </c>
      <c r="C31" s="26" t="s">
        <v>63</v>
      </c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21" x14ac:dyDescent="0.25">
      <c r="C32" s="26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1:18" x14ac:dyDescent="0.25">
      <c r="A33" s="36" t="s">
        <v>64</v>
      </c>
      <c r="C33" s="39" t="s">
        <v>74</v>
      </c>
      <c r="D33" s="36">
        <v>0.1</v>
      </c>
      <c r="F33" s="28">
        <v>22707</v>
      </c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</row>
    <row r="34" spans="1:18" x14ac:dyDescent="0.25">
      <c r="C34" s="39"/>
      <c r="D34" s="36">
        <v>0.2</v>
      </c>
      <c r="F34" s="28">
        <v>20000</v>
      </c>
      <c r="H34" s="27" t="s">
        <v>75</v>
      </c>
      <c r="I34" s="27" t="s">
        <v>76</v>
      </c>
      <c r="J34" s="27"/>
      <c r="K34" s="27"/>
      <c r="L34" s="27"/>
      <c r="M34" s="27"/>
      <c r="N34" s="27"/>
      <c r="O34" s="27"/>
      <c r="P34" s="27"/>
      <c r="Q34" s="27"/>
      <c r="R34" s="27"/>
    </row>
    <row r="36" spans="1:18" x14ac:dyDescent="0.25">
      <c r="A36" s="1" t="s">
        <v>65</v>
      </c>
    </row>
    <row r="39" spans="1:18" ht="18.75" x14ac:dyDescent="0.3">
      <c r="A39" s="2" t="s">
        <v>66</v>
      </c>
      <c r="N39" t="s">
        <v>77</v>
      </c>
    </row>
    <row r="40" spans="1:18" x14ac:dyDescent="0.25">
      <c r="C40" s="68" t="s">
        <v>14</v>
      </c>
      <c r="D40" s="68" t="s">
        <v>78</v>
      </c>
      <c r="E40" s="68" t="s">
        <v>79</v>
      </c>
      <c r="F40" s="1"/>
      <c r="G40" s="68" t="s">
        <v>80</v>
      </c>
      <c r="H40" s="68" t="s">
        <v>81</v>
      </c>
      <c r="I40" s="50" t="s">
        <v>82</v>
      </c>
      <c r="N40" t="s">
        <v>83</v>
      </c>
      <c r="Q40" t="s">
        <v>84</v>
      </c>
    </row>
    <row r="41" spans="1:18" x14ac:dyDescent="0.25">
      <c r="I41" s="28"/>
      <c r="N41" t="s">
        <v>85</v>
      </c>
      <c r="Q41" t="s">
        <v>84</v>
      </c>
    </row>
    <row r="42" spans="1:18" x14ac:dyDescent="0.25">
      <c r="A42">
        <v>2018</v>
      </c>
      <c r="C42" s="46">
        <v>424398</v>
      </c>
      <c r="D42" s="46">
        <v>149956</v>
      </c>
      <c r="E42" s="49">
        <f t="shared" ref="E42:E44" si="14">C42-D42</f>
        <v>274442</v>
      </c>
      <c r="G42" s="27">
        <v>2188596</v>
      </c>
      <c r="H42">
        <v>18</v>
      </c>
      <c r="I42" s="28">
        <f>(G42*H42)/100</f>
        <v>393947.28</v>
      </c>
      <c r="N42" t="s">
        <v>86</v>
      </c>
      <c r="Q42" t="s">
        <v>87</v>
      </c>
      <c r="R42" s="38" t="s">
        <v>88</v>
      </c>
    </row>
    <row r="43" spans="1:18" x14ac:dyDescent="0.25">
      <c r="A43">
        <v>2019</v>
      </c>
      <c r="C43" s="46">
        <v>502976</v>
      </c>
      <c r="D43" s="46">
        <v>291534</v>
      </c>
      <c r="E43" s="49">
        <f t="shared" si="14"/>
        <v>211442</v>
      </c>
      <c r="G43" s="27">
        <v>2541160</v>
      </c>
      <c r="H43">
        <v>18</v>
      </c>
      <c r="I43" s="28">
        <f t="shared" ref="I43:I45" si="15">(G43*H43)/100</f>
        <v>457408.8</v>
      </c>
    </row>
    <row r="44" spans="1:18" x14ac:dyDescent="0.25">
      <c r="A44" s="1">
        <v>2020</v>
      </c>
      <c r="B44" s="1"/>
      <c r="C44" s="46">
        <v>342917</v>
      </c>
      <c r="D44" s="46">
        <v>69180</v>
      </c>
      <c r="E44" s="49">
        <f t="shared" si="14"/>
        <v>273737</v>
      </c>
      <c r="G44" s="27">
        <v>2694596</v>
      </c>
      <c r="H44">
        <v>18</v>
      </c>
      <c r="I44" s="28">
        <f t="shared" si="15"/>
        <v>485027.28</v>
      </c>
      <c r="N44" t="s">
        <v>89</v>
      </c>
      <c r="Q44" t="s">
        <v>87</v>
      </c>
      <c r="R44" t="s">
        <v>90</v>
      </c>
    </row>
    <row r="45" spans="1:18" x14ac:dyDescent="0.25">
      <c r="A45" s="1">
        <v>2021</v>
      </c>
      <c r="B45" s="1"/>
      <c r="C45" s="46">
        <v>505175</v>
      </c>
      <c r="D45" s="46">
        <v>237930</v>
      </c>
      <c r="E45" s="49">
        <f>C45-D45</f>
        <v>267245</v>
      </c>
      <c r="G45" s="27">
        <v>2922987</v>
      </c>
      <c r="H45">
        <v>15</v>
      </c>
      <c r="I45" s="28">
        <f t="shared" si="15"/>
        <v>438448.05</v>
      </c>
    </row>
    <row r="46" spans="1:18" x14ac:dyDescent="0.25">
      <c r="A46" s="1"/>
      <c r="B46" s="1"/>
      <c r="C46" s="46"/>
      <c r="D46" s="46"/>
    </row>
  </sheetData>
  <mergeCells count="7">
    <mergeCell ref="T21:U21"/>
    <mergeCell ref="E4:G4"/>
    <mergeCell ref="I4:K4"/>
    <mergeCell ref="M4:O4"/>
    <mergeCell ref="Q4:S4"/>
    <mergeCell ref="N21:O21"/>
    <mergeCell ref="Q21:R21"/>
  </mergeCells>
  <pageMargins left="0.7" right="0.7" top="0.75" bottom="0.75" header="0.3" footer="0.3"/>
  <pageSetup paperSize="9" scale="5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c47912-9d74-4358-869a-b902840698c7" xsi:nil="true"/>
    <lcf76f155ced4ddcb4097134ff3c332f xmlns="d09a1811-1fe7-4dc6-87df-92c5828ecdc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9900546C7A9440A99C35991A04031D" ma:contentTypeVersion="18" ma:contentTypeDescription="Create a new document." ma:contentTypeScope="" ma:versionID="d4b7d38afdc114fbeceecd5cb2acb954">
  <xsd:schema xmlns:xsd="http://www.w3.org/2001/XMLSchema" xmlns:xs="http://www.w3.org/2001/XMLSchema" xmlns:p="http://schemas.microsoft.com/office/2006/metadata/properties" xmlns:ns2="d09a1811-1fe7-4dc6-87df-92c5828ecdc2" xmlns:ns3="28c47912-9d74-4358-869a-b902840698c7" targetNamespace="http://schemas.microsoft.com/office/2006/metadata/properties" ma:root="true" ma:fieldsID="ae9bb8e7b1c0a70b88378f8eb3fab384" ns2:_="" ns3:_="">
    <xsd:import namespace="d09a1811-1fe7-4dc6-87df-92c5828ecdc2"/>
    <xsd:import namespace="28c47912-9d74-4358-869a-b902840698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a1811-1fe7-4dc6-87df-92c5828ecd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f020112-0a9e-43d4-aa06-6228d709f4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7912-9d74-4358-869a-b902840698c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7fd9c61-a6c1-4a2e-8754-245acb80d9e2}" ma:internalName="TaxCatchAll" ma:showField="CatchAllData" ma:web="28c47912-9d74-4358-869a-b902840698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39418F-56F9-4D39-BF91-491B1C4515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14ACA9-1DE3-40ED-864E-4075C68C1C55}">
  <ds:schemaRefs>
    <ds:schemaRef ds:uri="http://schemas.microsoft.com/office/2006/metadata/properties"/>
    <ds:schemaRef ds:uri="http://schemas.microsoft.com/office/infopath/2007/PartnerControls"/>
    <ds:schemaRef ds:uri="28c47912-9d74-4358-869a-b902840698c7"/>
    <ds:schemaRef ds:uri="d09a1811-1fe7-4dc6-87df-92c5828ecdc2"/>
  </ds:schemaRefs>
</ds:datastoreItem>
</file>

<file path=customXml/itemProps3.xml><?xml version="1.0" encoding="utf-8"?>
<ds:datastoreItem xmlns:ds="http://schemas.openxmlformats.org/officeDocument/2006/customXml" ds:itemID="{87440C3E-DA87-4800-AADC-0798183392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9a1811-1fe7-4dc6-87df-92c5828ecdc2"/>
    <ds:schemaRef ds:uri="28c47912-9d74-4358-869a-b9028406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Calc</vt:lpstr>
      <vt:lpstr>2020 Calc</vt:lpstr>
      <vt:lpstr>Matrix 15</vt:lpstr>
      <vt:lpstr>Matrix 18</vt:lpstr>
      <vt:lpstr>Calc!Text1</vt:lpstr>
      <vt:lpstr>'2020 Calc'!Text2</vt:lpstr>
      <vt:lpstr>Calc!Text2</vt:lpstr>
      <vt:lpstr>Calc!Text3</vt:lpstr>
      <vt:lpstr>'2020 Calc'!Text4</vt:lpstr>
      <vt:lpstr>Calc!Text4</vt:lpstr>
      <vt:lpstr>'2020 Calc'!Trays</vt:lpstr>
      <vt:lpstr>Calc!Trays</vt:lpstr>
      <vt:lpstr>'2020 Calc'!Weighted_Trays</vt:lpstr>
      <vt:lpstr>Calc!Weighted_Trays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sparkadmin</dc:creator>
  <cp:keywords/>
  <dc:description/>
  <cp:lastModifiedBy>Amy Tewhetu</cp:lastModifiedBy>
  <cp:revision/>
  <dcterms:created xsi:type="dcterms:W3CDTF">2016-07-11T00:49:29Z</dcterms:created>
  <dcterms:modified xsi:type="dcterms:W3CDTF">2024-08-14T21:16:21Z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0x010100FF9900546C7A9440A99C35991A04031D</vt:lpwstr>
  </property>
  <property fmtid="{D5CDD505-2E9C-101B-9397-08002B2CF9AE}" pid="3" name="MediaServiceImageTags">
    <vt:lpwstr/>
  </property>
</Properties>
</file>